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drawings/drawing9.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10.xml" ContentType="application/vnd.openxmlformats-officedocument.drawing+xml"/>
  <Override PartName="/xl/comments13.xml" ContentType="application/vnd.openxmlformats-officedocument.spreadsheetml.comments+xml"/>
  <Override PartName="/xl/drawings/drawing11.xml" ContentType="application/vnd.openxmlformats-officedocument.drawing+xml"/>
  <Override PartName="/xl/comments14.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Z:\PRICING\DoingBusinessWithLCBO\"/>
    </mc:Choice>
  </mc:AlternateContent>
  <xr:revisionPtr revIDLastSave="0" documentId="14_{DBD409CE-A07B-424F-8AB4-2E9293B09C9F}" xr6:coauthVersionLast="47" xr6:coauthVersionMax="47" xr10:uidLastSave="{00000000-0000-0000-0000-000000000000}"/>
  <bookViews>
    <workbookView xWindow="-110" yWindow="-110" windowWidth="19420" windowHeight="10300" tabRatio="976" firstSheet="1" activeTab="1" xr2:uid="{00000000-000D-0000-FFFF-FFFF00000000}"/>
  </bookViews>
  <sheets>
    <sheet name="OpenWorkSheet" sheetId="28" state="hidden" r:id="rId1"/>
    <sheet name="Wine" sheetId="1" r:id="rId2"/>
    <sheet name="Spirits" sheetId="8" r:id="rId3"/>
    <sheet name="Cooler RTD Cider" sheetId="14" r:id="rId4"/>
    <sheet name="Rates" sheetId="7" state="hidden" r:id="rId5"/>
    <sheet name="BeerImport" sheetId="19" r:id="rId6"/>
    <sheet name="BeerOntario" sheetId="20" r:id="rId7"/>
    <sheet name="BeerImportedFlavour" sheetId="21" r:id="rId8"/>
    <sheet name="GiftPack_Wine" sheetId="10" r:id="rId9"/>
    <sheet name="GiftPack_Spirit" sheetId="12" r:id="rId10"/>
    <sheet name="GiftPack_Cooler RTD Cider" sheetId="18" r:id="rId11"/>
    <sheet name="GiftPack_BeerImport" sheetId="24" r:id="rId12"/>
    <sheet name="GiftPack_BeerOntario" sheetId="23" r:id="rId13"/>
    <sheet name="KEGFlavouredBeer" sheetId="31" r:id="rId14"/>
    <sheet name="KEGBeerImport" sheetId="29" r:id="rId15"/>
    <sheet name="KEGCider" sheetId="30" r:id="rId16"/>
    <sheet name="Contact Info" sheetId="27" r:id="rId17"/>
  </sheets>
  <definedNames>
    <definedName name="_xlnm._FilterDatabase" localSheetId="4" hidden="1">Rates!$F$135:$J$365</definedName>
    <definedName name="_xlnm.Print_Area" localSheetId="6">BeerOntario!$A$1:$P$27</definedName>
    <definedName name="_xlnm.Print_Area" localSheetId="8">GiftPack_Wine!$B$1:$O$47</definedName>
    <definedName name="_xlnm.Print_Area" localSheetId="1">Wine!$B$1:$P$36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C16" i="1"/>
  <c r="C18" i="12"/>
  <c r="J269" i="7"/>
  <c r="C18" i="10"/>
  <c r="H16" i="7"/>
  <c r="F21" i="7"/>
  <c r="H15" i="7"/>
  <c r="J231" i="7"/>
  <c r="F18" i="7"/>
  <c r="C16" i="14" s="1"/>
  <c r="C20" i="30"/>
  <c r="C21" i="1"/>
  <c r="H24" i="20"/>
  <c r="F19" i="7" l="1"/>
  <c r="H6" i="14" s="1"/>
  <c r="C17" i="1"/>
  <c r="C22" i="23"/>
  <c r="C22" i="24"/>
  <c r="C25" i="21"/>
  <c r="C21" i="20"/>
  <c r="H34" i="20" s="1"/>
  <c r="C20" i="19"/>
  <c r="H25" i="20" l="1"/>
  <c r="C24" i="24"/>
  <c r="C25" i="24"/>
  <c r="C25" i="31"/>
  <c r="H7" i="31" s="1"/>
  <c r="C18" i="30"/>
  <c r="C24" i="31"/>
  <c r="H6" i="31" s="1"/>
  <c r="C23" i="31"/>
  <c r="C22" i="31"/>
  <c r="H25" i="31" s="1"/>
  <c r="C21" i="31"/>
  <c r="H18" i="31" s="1"/>
  <c r="C20" i="31"/>
  <c r="H17" i="31" s="1"/>
  <c r="C19" i="31"/>
  <c r="H12" i="31" s="1"/>
  <c r="C18" i="31"/>
  <c r="H11" i="31" s="1"/>
  <c r="H16" i="31"/>
  <c r="C17" i="31"/>
  <c r="H8" i="31"/>
  <c r="H5" i="31"/>
  <c r="C17" i="30"/>
  <c r="H9" i="31" l="1"/>
  <c r="H13" i="31" s="1"/>
  <c r="H15" i="31" s="1"/>
  <c r="H19" i="31" s="1"/>
  <c r="H20" i="31" s="1"/>
  <c r="H21" i="31" s="1"/>
  <c r="H24" i="31" s="1"/>
  <c r="D15" i="31" l="1"/>
  <c r="H26" i="31"/>
  <c r="C15" i="31" s="1"/>
  <c r="H23" i="31"/>
  <c r="H22" i="31" s="1"/>
  <c r="E15" i="31" l="1"/>
  <c r="C24" i="30" l="1"/>
  <c r="H17" i="30"/>
  <c r="H14" i="30"/>
  <c r="H6" i="30" l="1"/>
  <c r="C21" i="29"/>
  <c r="H25" i="29" s="1"/>
  <c r="C25" i="30"/>
  <c r="H24" i="30"/>
  <c r="C23" i="30"/>
  <c r="C22" i="30"/>
  <c r="C21" i="30"/>
  <c r="H15" i="30" s="1"/>
  <c r="H8" i="30"/>
  <c r="H5" i="30"/>
  <c r="H7" i="30" s="1"/>
  <c r="H9" i="30" l="1"/>
  <c r="H10" i="30" l="1"/>
  <c r="H11" i="30" s="1"/>
  <c r="H13" i="30" s="1"/>
  <c r="H18" i="30" s="1"/>
  <c r="H19" i="30" s="1"/>
  <c r="H20" i="30" l="1"/>
  <c r="D15" i="30" s="1"/>
  <c r="C36" i="30" l="1"/>
  <c r="C35" i="30" s="1"/>
  <c r="C34" i="30" s="1"/>
  <c r="C38" i="30" s="1"/>
  <c r="D20" i="30" l="1"/>
  <c r="E20" i="30" s="1"/>
  <c r="H23" i="30"/>
  <c r="H22" i="30" l="1"/>
  <c r="H21" i="30" s="1"/>
  <c r="H25" i="30"/>
  <c r="C15" i="30" s="1"/>
  <c r="E15" i="30" s="1"/>
  <c r="H16" i="29"/>
  <c r="C18" i="29"/>
  <c r="H12" i="29" s="1"/>
  <c r="C17" i="29"/>
  <c r="H11" i="29" s="1"/>
  <c r="C24" i="29"/>
  <c r="H7" i="29" s="1"/>
  <c r="C23" i="29"/>
  <c r="H6" i="29" s="1"/>
  <c r="C22" i="29"/>
  <c r="C20" i="29"/>
  <c r="H18" i="29" s="1"/>
  <c r="C19" i="29"/>
  <c r="H17" i="29" s="1"/>
  <c r="C16" i="29"/>
  <c r="H8" i="29"/>
  <c r="H5" i="29"/>
  <c r="C30" i="30" l="1"/>
  <c r="C31" i="30"/>
  <c r="C32" i="30" s="1"/>
  <c r="H9" i="29"/>
  <c r="H13" i="29" s="1"/>
  <c r="H15" i="29" s="1"/>
  <c r="H19" i="29" s="1"/>
  <c r="H20" i="29" s="1"/>
  <c r="H21" i="29" s="1"/>
  <c r="D14" i="29" l="1"/>
  <c r="H24" i="29"/>
  <c r="H23" i="29" l="1"/>
  <c r="H22" i="29" s="1"/>
  <c r="H26" i="29"/>
  <c r="C14" i="29" s="1"/>
  <c r="E14" i="29" s="1"/>
  <c r="C22" i="19" l="1"/>
  <c r="G26" i="10" l="1"/>
  <c r="N7" i="12" l="1"/>
  <c r="H5" i="1"/>
  <c r="H5" i="20"/>
  <c r="H6" i="20"/>
  <c r="H30" i="20" s="1"/>
  <c r="I450" i="7" l="1"/>
  <c r="I449" i="7"/>
  <c r="I438" i="7"/>
  <c r="I437" i="7"/>
  <c r="I426" i="7"/>
  <c r="I425" i="7"/>
  <c r="I414" i="7"/>
  <c r="I413" i="7"/>
  <c r="I402" i="7"/>
  <c r="I401" i="7"/>
  <c r="I390" i="7"/>
  <c r="I389" i="7"/>
  <c r="I345" i="7"/>
  <c r="I344" i="7"/>
  <c r="I333" i="7"/>
  <c r="I332" i="7"/>
  <c r="I321" i="7"/>
  <c r="I320" i="7"/>
  <c r="I309" i="7"/>
  <c r="I308" i="7"/>
  <c r="J295" i="7"/>
  <c r="J277" i="7"/>
  <c r="J271" i="7"/>
  <c r="J259" i="7"/>
  <c r="C19" i="8" l="1"/>
  <c r="I448" i="7"/>
  <c r="I447" i="7"/>
  <c r="I446" i="7"/>
  <c r="I445" i="7"/>
  <c r="I444" i="7"/>
  <c r="I443" i="7"/>
  <c r="I442" i="7"/>
  <c r="I441" i="7"/>
  <c r="I440" i="7"/>
  <c r="I439" i="7"/>
  <c r="I436" i="7"/>
  <c r="I435" i="7"/>
  <c r="I434" i="7"/>
  <c r="I433" i="7"/>
  <c r="I432" i="7"/>
  <c r="I431" i="7"/>
  <c r="I430" i="7"/>
  <c r="I429" i="7"/>
  <c r="I428" i="7"/>
  <c r="I427" i="7"/>
  <c r="I424" i="7"/>
  <c r="I423" i="7"/>
  <c r="I422" i="7"/>
  <c r="I421" i="7"/>
  <c r="I420" i="7"/>
  <c r="I419" i="7"/>
  <c r="I418" i="7"/>
  <c r="I417" i="7"/>
  <c r="I416" i="7"/>
  <c r="I415" i="7"/>
  <c r="I412" i="7"/>
  <c r="I411" i="7"/>
  <c r="I410" i="7"/>
  <c r="I409" i="7"/>
  <c r="I408" i="7"/>
  <c r="I407" i="7"/>
  <c r="I406" i="7"/>
  <c r="I405" i="7"/>
  <c r="I404" i="7"/>
  <c r="I403" i="7"/>
  <c r="I400" i="7"/>
  <c r="I399" i="7"/>
  <c r="I398" i="7"/>
  <c r="I397" i="7"/>
  <c r="I396" i="7"/>
  <c r="I395" i="7"/>
  <c r="I394" i="7"/>
  <c r="I393" i="7"/>
  <c r="I392" i="7"/>
  <c r="I391" i="7"/>
  <c r="I388" i="7"/>
  <c r="I387" i="7"/>
  <c r="I386" i="7"/>
  <c r="I385" i="7"/>
  <c r="I384" i="7"/>
  <c r="I383" i="7"/>
  <c r="I382" i="7"/>
  <c r="I381" i="7"/>
  <c r="I380" i="7"/>
  <c r="I379" i="7"/>
  <c r="J201" i="7"/>
  <c r="J166" i="7"/>
  <c r="J152" i="7"/>
  <c r="J145" i="7"/>
  <c r="J138" i="7"/>
  <c r="J199" i="7"/>
  <c r="J164" i="7"/>
  <c r="J150" i="7"/>
  <c r="J143" i="7"/>
  <c r="J136" i="7"/>
  <c r="G25" i="12" l="1"/>
  <c r="G25" i="18"/>
  <c r="G26" i="24"/>
  <c r="E27" i="23"/>
  <c r="L9" i="23"/>
  <c r="F9" i="23" s="1"/>
  <c r="F15" i="23"/>
  <c r="L8" i="23"/>
  <c r="F8" i="23" s="1"/>
  <c r="C17" i="23"/>
  <c r="C19" i="23"/>
  <c r="C20" i="23"/>
  <c r="C21" i="23"/>
  <c r="C23" i="23"/>
  <c r="C25" i="23"/>
  <c r="C23" i="20"/>
  <c r="C17" i="14" l="1"/>
  <c r="C20" i="10"/>
  <c r="C20" i="12"/>
  <c r="C21" i="12"/>
  <c r="H7" i="12" l="1"/>
  <c r="I365" i="7"/>
  <c r="I364" i="7"/>
  <c r="I363" i="7"/>
  <c r="I362" i="7"/>
  <c r="I361" i="7"/>
  <c r="I360" i="7"/>
  <c r="I359" i="7"/>
  <c r="I358" i="7"/>
  <c r="I357" i="7"/>
  <c r="I356" i="7"/>
  <c r="I355" i="7"/>
  <c r="I354" i="7"/>
  <c r="I353" i="7"/>
  <c r="I352" i="7"/>
  <c r="I351" i="7"/>
  <c r="I350" i="7"/>
  <c r="I349" i="7"/>
  <c r="I348" i="7"/>
  <c r="I347" i="7"/>
  <c r="I346" i="7"/>
  <c r="I343" i="7"/>
  <c r="I342" i="7"/>
  <c r="I341" i="7"/>
  <c r="I340" i="7"/>
  <c r="I339" i="7"/>
  <c r="I338" i="7"/>
  <c r="I337" i="7"/>
  <c r="I336" i="7"/>
  <c r="I335" i="7"/>
  <c r="I334" i="7"/>
  <c r="J331" i="7"/>
  <c r="J330" i="7"/>
  <c r="J329" i="7"/>
  <c r="J327" i="7"/>
  <c r="J322" i="7"/>
  <c r="I331" i="7"/>
  <c r="I330" i="7"/>
  <c r="I329" i="7"/>
  <c r="I328" i="7"/>
  <c r="I327" i="7"/>
  <c r="I326" i="7"/>
  <c r="I325" i="7"/>
  <c r="I324" i="7"/>
  <c r="I323" i="7"/>
  <c r="I322" i="7"/>
  <c r="J319" i="7"/>
  <c r="J318" i="7"/>
  <c r="J317" i="7"/>
  <c r="J315" i="7"/>
  <c r="J310" i="7"/>
  <c r="I319" i="7"/>
  <c r="I318" i="7"/>
  <c r="I317" i="7"/>
  <c r="I316" i="7"/>
  <c r="I315" i="7"/>
  <c r="I314" i="7"/>
  <c r="I313" i="7"/>
  <c r="I312" i="7"/>
  <c r="I311" i="7"/>
  <c r="I310" i="7"/>
  <c r="J298" i="7"/>
  <c r="J307" i="7"/>
  <c r="J306" i="7"/>
  <c r="J305" i="7"/>
  <c r="J303" i="7"/>
  <c r="I307" i="7"/>
  <c r="I306" i="7"/>
  <c r="I305" i="7"/>
  <c r="I304" i="7"/>
  <c r="I303" i="7"/>
  <c r="I302" i="7"/>
  <c r="I301" i="7"/>
  <c r="I300" i="7"/>
  <c r="I299" i="7"/>
  <c r="I298" i="7"/>
  <c r="C19" i="12" l="1"/>
  <c r="N6" i="12" s="1"/>
  <c r="C19" i="10"/>
  <c r="C17" i="8"/>
  <c r="H6" i="8" s="1"/>
  <c r="C18" i="1"/>
  <c r="H7" i="1" l="1"/>
  <c r="C15" i="19"/>
  <c r="I5" i="23" l="1"/>
  <c r="I7" i="23" s="1"/>
  <c r="K5" i="24"/>
  <c r="K9" i="24" s="1"/>
  <c r="K5" i="18"/>
  <c r="K5" i="12"/>
  <c r="N5" i="24"/>
  <c r="N8" i="24"/>
  <c r="H8" i="24" s="1"/>
  <c r="N7" i="24"/>
  <c r="H7" i="24" s="1"/>
  <c r="N6" i="24"/>
  <c r="H6" i="24" s="1"/>
  <c r="C23" i="24"/>
  <c r="H24" i="24"/>
  <c r="C21" i="24"/>
  <c r="N17" i="24" s="1"/>
  <c r="H17" i="24" s="1"/>
  <c r="C20" i="24"/>
  <c r="N16" i="24" s="1"/>
  <c r="H16" i="24" s="1"/>
  <c r="C19" i="24"/>
  <c r="N12" i="24" s="1"/>
  <c r="C18" i="24"/>
  <c r="N11" i="24" s="1"/>
  <c r="H11" i="24" s="1"/>
  <c r="C17" i="24"/>
  <c r="N10" i="24" s="1"/>
  <c r="H10" i="24" s="1"/>
  <c r="F24" i="23"/>
  <c r="L6" i="23"/>
  <c r="F6" i="23" s="1"/>
  <c r="L5" i="23"/>
  <c r="C16" i="19"/>
  <c r="L14" i="23"/>
  <c r="F14" i="23" s="1"/>
  <c r="L13" i="23"/>
  <c r="F13" i="23" s="1"/>
  <c r="F5" i="23" l="1"/>
  <c r="H5" i="24"/>
  <c r="H9" i="24" s="1"/>
  <c r="H12" i="24"/>
  <c r="K13" i="24"/>
  <c r="K15" i="24" s="1"/>
  <c r="N9" i="24"/>
  <c r="N13" i="24" s="1"/>
  <c r="N15" i="24" s="1"/>
  <c r="L7" i="23"/>
  <c r="L10" i="23" s="1"/>
  <c r="L12" i="23" s="1"/>
  <c r="I10" i="23"/>
  <c r="I12" i="23" s="1"/>
  <c r="I16" i="23" s="1"/>
  <c r="H11" i="19"/>
  <c r="C17" i="19"/>
  <c r="I17" i="23" l="1"/>
  <c r="I18" i="23" s="1"/>
  <c r="I20" i="23" s="1"/>
  <c r="L16" i="23"/>
  <c r="F12" i="23"/>
  <c r="H24" i="19"/>
  <c r="H13" i="24"/>
  <c r="H15" i="24" s="1"/>
  <c r="N18" i="24"/>
  <c r="N19" i="24" s="1"/>
  <c r="N20" i="24" s="1"/>
  <c r="K18" i="24"/>
  <c r="K19" i="24" s="1"/>
  <c r="K20" i="24" s="1"/>
  <c r="K21" i="24" s="1"/>
  <c r="F7" i="23"/>
  <c r="F10" i="23" s="1"/>
  <c r="H9" i="20"/>
  <c r="H27" i="20" s="1"/>
  <c r="L17" i="23" l="1"/>
  <c r="L18" i="23" s="1"/>
  <c r="L20" i="23" s="1"/>
  <c r="F22" i="23" s="1"/>
  <c r="N21" i="24"/>
  <c r="H23" i="24" s="1"/>
  <c r="H25" i="24" s="1"/>
  <c r="H20" i="24"/>
  <c r="D15" i="24" s="1"/>
  <c r="F16" i="23"/>
  <c r="H18" i="24"/>
  <c r="H17" i="20"/>
  <c r="H15" i="20" s="1"/>
  <c r="C17" i="21"/>
  <c r="H6" i="21" s="1"/>
  <c r="J297" i="7"/>
  <c r="J294" i="7"/>
  <c r="J291" i="7"/>
  <c r="J289" i="7"/>
  <c r="J288" i="7"/>
  <c r="J287" i="7"/>
  <c r="H7" i="21"/>
  <c r="C24" i="21"/>
  <c r="C23" i="21"/>
  <c r="H17" i="21" s="1"/>
  <c r="C22" i="21"/>
  <c r="H16" i="21" s="1"/>
  <c r="C21" i="21"/>
  <c r="H12" i="21" s="1"/>
  <c r="C20" i="21"/>
  <c r="H11" i="21" s="1"/>
  <c r="C19" i="21"/>
  <c r="H10" i="21" s="1"/>
  <c r="H8" i="21"/>
  <c r="H5" i="21"/>
  <c r="C18" i="20"/>
  <c r="H26" i="20" s="1"/>
  <c r="C24" i="20"/>
  <c r="C22" i="20"/>
  <c r="C20" i="20"/>
  <c r="C19" i="20"/>
  <c r="C17" i="20"/>
  <c r="C16" i="20"/>
  <c r="H29" i="20" s="1"/>
  <c r="F21" i="23" l="1"/>
  <c r="F20" i="23" s="1"/>
  <c r="F17" i="23"/>
  <c r="F18" i="23" s="1"/>
  <c r="H22" i="24"/>
  <c r="H21" i="24" s="1"/>
  <c r="H19" i="24"/>
  <c r="H24" i="21"/>
  <c r="H9" i="21"/>
  <c r="H13" i="21" s="1"/>
  <c r="H15" i="21" s="1"/>
  <c r="H18" i="21" s="1"/>
  <c r="H8" i="20"/>
  <c r="H28" i="20" s="1"/>
  <c r="H31" i="20" s="1"/>
  <c r="H7" i="20"/>
  <c r="H32" i="20" l="1"/>
  <c r="H19" i="21"/>
  <c r="H20" i="21" s="1"/>
  <c r="H35" i="20" l="1"/>
  <c r="H36" i="20" s="1"/>
  <c r="H33" i="20"/>
  <c r="H23" i="21"/>
  <c r="H22" i="21" s="1"/>
  <c r="H21" i="21" s="1"/>
  <c r="D15" i="21"/>
  <c r="C15" i="24"/>
  <c r="E15" i="24" s="1"/>
  <c r="H14" i="20"/>
  <c r="H25" i="21" l="1"/>
  <c r="C15" i="21" s="1"/>
  <c r="E15" i="21" s="1"/>
  <c r="H11" i="20"/>
  <c r="H18" i="20" s="1"/>
  <c r="H16" i="20"/>
  <c r="C23" i="19"/>
  <c r="H7" i="19" s="1"/>
  <c r="H6" i="19"/>
  <c r="C21" i="19"/>
  <c r="C19" i="19"/>
  <c r="H17" i="19" s="1"/>
  <c r="C18" i="19"/>
  <c r="H16" i="19" s="1"/>
  <c r="H12" i="19"/>
  <c r="H10" i="19"/>
  <c r="H8" i="19"/>
  <c r="H5" i="19"/>
  <c r="H12" i="20" l="1"/>
  <c r="H13" i="20" s="1"/>
  <c r="D14" i="20" s="1"/>
  <c r="C14" i="20"/>
  <c r="H9" i="19"/>
  <c r="H13" i="19" s="1"/>
  <c r="H15" i="19" s="1"/>
  <c r="H18" i="19" s="1"/>
  <c r="E14" i="20" l="1"/>
  <c r="H19" i="19"/>
  <c r="H20" i="19" s="1"/>
  <c r="H23" i="19" l="1"/>
  <c r="H22" i="19" s="1"/>
  <c r="D13" i="19"/>
  <c r="H25" i="19" l="1"/>
  <c r="C13" i="19" s="1"/>
  <c r="E13" i="19" s="1"/>
  <c r="H21" i="19"/>
  <c r="C23" i="18" l="1"/>
  <c r="C24" i="18"/>
  <c r="H23" i="18" s="1"/>
  <c r="N5" i="18"/>
  <c r="H5" i="18" s="1"/>
  <c r="K9" i="18"/>
  <c r="N8" i="18" l="1"/>
  <c r="H8" i="18" s="1"/>
  <c r="C26" i="18"/>
  <c r="C22" i="18"/>
  <c r="C21" i="18"/>
  <c r="C20" i="18"/>
  <c r="C19" i="18"/>
  <c r="J285" i="7"/>
  <c r="J283" i="7"/>
  <c r="J282" i="7"/>
  <c r="J281" i="7"/>
  <c r="J279" i="7"/>
  <c r="J276" i="7"/>
  <c r="J275" i="7"/>
  <c r="J273" i="7"/>
  <c r="J270" i="7"/>
  <c r="J267" i="7"/>
  <c r="J265" i="7"/>
  <c r="J264" i="7"/>
  <c r="J263" i="7"/>
  <c r="J261" i="7"/>
  <c r="J258" i="7"/>
  <c r="J257" i="7"/>
  <c r="J255" i="7"/>
  <c r="J243" i="7"/>
  <c r="J249" i="7"/>
  <c r="J237" i="7"/>
  <c r="J225" i="7"/>
  <c r="C25" i="1"/>
  <c r="C24" i="14"/>
  <c r="H7" i="14" s="1"/>
  <c r="D171" i="7"/>
  <c r="D169" i="7"/>
  <c r="D168" i="7"/>
  <c r="D167" i="7"/>
  <c r="C18" i="14" s="1"/>
  <c r="D166" i="7"/>
  <c r="C25" i="18" s="1"/>
  <c r="D177" i="7"/>
  <c r="D175" i="7"/>
  <c r="D174" i="7"/>
  <c r="D173" i="7"/>
  <c r="D172" i="7"/>
  <c r="D165" i="7"/>
  <c r="D163" i="7"/>
  <c r="D162" i="7"/>
  <c r="D161" i="7"/>
  <c r="D160" i="7"/>
  <c r="N14" i="18" l="1"/>
  <c r="H14" i="18" s="1"/>
  <c r="N15" i="18"/>
  <c r="H15" i="18" s="1"/>
  <c r="N7" i="18"/>
  <c r="H7" i="18" s="1"/>
  <c r="N16" i="18"/>
  <c r="H16" i="18" s="1"/>
  <c r="C18" i="8" l="1"/>
  <c r="C19" i="14"/>
  <c r="F27" i="7"/>
  <c r="F26" i="7"/>
  <c r="F25" i="7"/>
  <c r="F24" i="7"/>
  <c r="C18" i="18"/>
  <c r="N6" i="18" s="1"/>
  <c r="F23" i="7"/>
  <c r="F22" i="7"/>
  <c r="F20" i="7"/>
  <c r="H6" i="18" l="1"/>
  <c r="C20" i="14"/>
  <c r="H14" i="14" s="1"/>
  <c r="H8" i="14"/>
  <c r="H5" i="14"/>
  <c r="C23" i="14"/>
  <c r="H23" i="14" s="1"/>
  <c r="C22" i="14"/>
  <c r="C21" i="14"/>
  <c r="H16" i="14" s="1"/>
  <c r="N8" i="12"/>
  <c r="H8" i="12" s="1"/>
  <c r="N15" i="12"/>
  <c r="H15" i="12" s="1"/>
  <c r="C25" i="12"/>
  <c r="H23" i="12" s="1"/>
  <c r="C24" i="12"/>
  <c r="C23" i="12"/>
  <c r="N16" i="12" s="1"/>
  <c r="H16" i="12" s="1"/>
  <c r="C22" i="12"/>
  <c r="N14" i="12" s="1"/>
  <c r="H14" i="12" s="1"/>
  <c r="N9" i="18" l="1"/>
  <c r="H9" i="18" s="1"/>
  <c r="H6" i="12"/>
  <c r="N5" i="12"/>
  <c r="H5" i="12" s="1"/>
  <c r="K9" i="12"/>
  <c r="K10" i="12" s="1"/>
  <c r="K11" i="12" s="1"/>
  <c r="K13" i="12" s="1"/>
  <c r="N10" i="18" l="1"/>
  <c r="N11" i="18" s="1"/>
  <c r="N13" i="18" s="1"/>
  <c r="N17" i="18" s="1"/>
  <c r="N18" i="18" s="1"/>
  <c r="N19" i="18" s="1"/>
  <c r="C38" i="18" s="1"/>
  <c r="K17" i="12"/>
  <c r="N22" i="18" l="1"/>
  <c r="K18" i="12"/>
  <c r="K19" i="12" s="1"/>
  <c r="K22" i="12" s="1"/>
  <c r="N9" i="12"/>
  <c r="H9" i="12" l="1"/>
  <c r="N10" i="12"/>
  <c r="H10" i="12" s="1"/>
  <c r="N11" i="12" l="1"/>
  <c r="H11" i="12" l="1"/>
  <c r="N13" i="12"/>
  <c r="H13" i="12" l="1"/>
  <c r="N17" i="12"/>
  <c r="H17" i="12" l="1"/>
  <c r="N18" i="12"/>
  <c r="H18" i="12" l="1"/>
  <c r="N19" i="12"/>
  <c r="C31" i="12" l="1"/>
  <c r="C37" i="12"/>
  <c r="C36" i="12" s="1"/>
  <c r="C35" i="12" s="1"/>
  <c r="C39" i="12" s="1"/>
  <c r="H22" i="12" s="1"/>
  <c r="N22" i="12"/>
  <c r="H19" i="12"/>
  <c r="D16" i="12" s="1"/>
  <c r="N5" i="10"/>
  <c r="N8" i="10"/>
  <c r="H8" i="10" s="1"/>
  <c r="K5" i="10"/>
  <c r="C27" i="10"/>
  <c r="C26" i="10"/>
  <c r="H24" i="10" s="1"/>
  <c r="C25" i="10"/>
  <c r="C24" i="10"/>
  <c r="N17" i="10" s="1"/>
  <c r="H17" i="10" s="1"/>
  <c r="C23" i="10"/>
  <c r="C22" i="10"/>
  <c r="N15" i="10" s="1"/>
  <c r="H15" i="10" s="1"/>
  <c r="C21" i="10"/>
  <c r="N11" i="10" s="1"/>
  <c r="H11" i="10" s="1"/>
  <c r="N16" i="10"/>
  <c r="H16" i="10" s="1"/>
  <c r="D22" i="12" l="1"/>
  <c r="E22" i="12" s="1"/>
  <c r="N7" i="10"/>
  <c r="H7" i="10" s="1"/>
  <c r="H5" i="10"/>
  <c r="K9" i="10"/>
  <c r="H21" i="12" l="1"/>
  <c r="H20" i="12" s="1"/>
  <c r="C32" i="12" s="1"/>
  <c r="C33" i="12" s="1"/>
  <c r="H24" i="12"/>
  <c r="C16" i="12" s="1"/>
  <c r="E16" i="12" s="1"/>
  <c r="K12" i="10"/>
  <c r="K14" i="10" l="1"/>
  <c r="K18" i="10" l="1"/>
  <c r="C22" i="8"/>
  <c r="C21" i="8"/>
  <c r="C20" i="8"/>
  <c r="K19" i="10" l="1"/>
  <c r="K20" i="10" l="1"/>
  <c r="H7" i="8"/>
  <c r="H16" i="8"/>
  <c r="H14" i="8"/>
  <c r="H8" i="8"/>
  <c r="H5" i="8"/>
  <c r="C23" i="8"/>
  <c r="H23" i="8" s="1"/>
  <c r="K23" i="10" l="1"/>
  <c r="H9" i="8"/>
  <c r="H10" i="8" l="1"/>
  <c r="H11" i="8" s="1"/>
  <c r="H13" i="8" s="1"/>
  <c r="C23" i="1" l="1"/>
  <c r="C22" i="1"/>
  <c r="C20" i="1"/>
  <c r="C19" i="1"/>
  <c r="H15" i="14"/>
  <c r="C18" i="21"/>
  <c r="N6" i="10" l="1"/>
  <c r="N9" i="10" s="1"/>
  <c r="H15" i="8"/>
  <c r="H6" i="1"/>
  <c r="H17" i="8" l="1"/>
  <c r="H18" i="8" s="1"/>
  <c r="H19" i="8" s="1"/>
  <c r="D14" i="8" s="1"/>
  <c r="H6" i="10"/>
  <c r="N10" i="10"/>
  <c r="H10" i="10" s="1"/>
  <c r="H9" i="10"/>
  <c r="C31" i="8" l="1"/>
  <c r="C30" i="8" s="1"/>
  <c r="C29" i="8" s="1"/>
  <c r="C33" i="8" s="1"/>
  <c r="N12" i="10"/>
  <c r="H22" i="8" l="1"/>
  <c r="H24" i="8" s="1"/>
  <c r="C14" i="8" s="1"/>
  <c r="E14" i="8" s="1"/>
  <c r="D19" i="8"/>
  <c r="E19" i="8" s="1"/>
  <c r="N14" i="10"/>
  <c r="H12" i="10"/>
  <c r="H11" i="1"/>
  <c r="C24" i="1"/>
  <c r="H24" i="1" s="1"/>
  <c r="H16" i="1"/>
  <c r="H15" i="1"/>
  <c r="H17" i="1"/>
  <c r="H8" i="1"/>
  <c r="H21" i="8" l="1"/>
  <c r="H20" i="8" s="1"/>
  <c r="N18" i="10"/>
  <c r="H14" i="10"/>
  <c r="H9" i="1"/>
  <c r="H10" i="1" s="1"/>
  <c r="H12" i="1" s="1"/>
  <c r="H14" i="1" s="1"/>
  <c r="H18" i="1" s="1"/>
  <c r="C25" i="8" l="1"/>
  <c r="C35" i="10"/>
  <c r="H23" i="10" s="1"/>
  <c r="C31" i="10"/>
  <c r="C26" i="8"/>
  <c r="C27" i="8" s="1"/>
  <c r="H19" i="1"/>
  <c r="H20" i="1" s="1"/>
  <c r="D14" i="1" s="1"/>
  <c r="C42" i="10"/>
  <c r="N19" i="10"/>
  <c r="H18" i="10"/>
  <c r="C42" i="1"/>
  <c r="D23" i="10" l="1"/>
  <c r="E23" i="10" s="1"/>
  <c r="C39" i="1"/>
  <c r="C38" i="1" s="1"/>
  <c r="N20" i="10"/>
  <c r="H19" i="10"/>
  <c r="N23" i="10" l="1"/>
  <c r="C39" i="10"/>
  <c r="C38" i="10" s="1"/>
  <c r="C37" i="1"/>
  <c r="C35" i="1" s="1"/>
  <c r="D21" i="1" s="1"/>
  <c r="E21" i="1" s="1"/>
  <c r="H20" i="10"/>
  <c r="D16" i="10" l="1"/>
  <c r="H23" i="1"/>
  <c r="H25" i="1" s="1"/>
  <c r="C14" i="1" s="1"/>
  <c r="E14" i="1" s="1"/>
  <c r="H22" i="1" l="1"/>
  <c r="H21" i="1" s="1"/>
  <c r="C31" i="1" l="1"/>
  <c r="C32" i="1"/>
  <c r="C33" i="1" s="1"/>
  <c r="C37" i="10"/>
  <c r="H25" i="10" l="1"/>
  <c r="H22" i="10" l="1"/>
  <c r="H21" i="10" s="1"/>
  <c r="C16" i="10"/>
  <c r="E16" i="10" s="1"/>
  <c r="C32" i="10" l="1"/>
  <c r="C33" i="10" s="1"/>
  <c r="H9" i="14" l="1"/>
  <c r="H10" i="14" s="1"/>
  <c r="H11" i="14" l="1"/>
  <c r="H13" i="14" s="1"/>
  <c r="H17" i="14" s="1"/>
  <c r="H18" i="14" l="1"/>
  <c r="H19" i="14" s="1"/>
  <c r="C35" i="14" l="1"/>
  <c r="C34" i="14" s="1"/>
  <c r="C33" i="14" s="1"/>
  <c r="C37" i="14" s="1"/>
  <c r="D14" i="14"/>
  <c r="H22" i="14" l="1"/>
  <c r="H24" i="14" s="1"/>
  <c r="D19" i="14"/>
  <c r="E19" i="14" s="1"/>
  <c r="C14" i="14" l="1"/>
  <c r="E14" i="14" s="1"/>
  <c r="H21" i="14"/>
  <c r="H20" i="14" s="1"/>
  <c r="C30" i="14" l="1"/>
  <c r="C31" i="14" s="1"/>
  <c r="C29" i="14"/>
  <c r="H10" i="18" l="1"/>
  <c r="K11" i="18"/>
  <c r="K13" i="18" s="1"/>
  <c r="H13" i="18" l="1"/>
  <c r="K17" i="18"/>
  <c r="H11" i="18"/>
  <c r="K18" i="18" l="1"/>
  <c r="H18" i="18" s="1"/>
  <c r="H17" i="18"/>
  <c r="K19" i="18" l="1"/>
  <c r="H19" i="18" s="1"/>
  <c r="C37" i="18" l="1"/>
  <c r="C36" i="18" s="1"/>
  <c r="C40" i="18" s="1"/>
  <c r="K22" i="18"/>
  <c r="H22" i="18" l="1"/>
  <c r="H24" i="18" s="1"/>
  <c r="C16" i="18" s="1"/>
  <c r="D20" i="18"/>
  <c r="E20" i="18" s="1"/>
  <c r="H21" i="18" l="1"/>
  <c r="H20" i="18" s="1"/>
  <c r="D16" i="18"/>
  <c r="E16" i="18" s="1"/>
  <c r="C33" i="18" l="1"/>
  <c r="C34" i="18" s="1"/>
  <c r="C32" i="18"/>
  <c r="F26" i="23" l="1"/>
  <c r="C1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00000000-0006-0000-0000-000001000000}">
      <text>
        <r>
          <rPr>
            <sz val="9"/>
            <color indexed="81"/>
            <rFont val="Tahoma"/>
            <family val="2"/>
          </rPr>
          <t>Select from the drop down box: Table Wine, Light Wine, Fortified, Fortified &gt;=20.1%, Flavoured, Sake or Sparkling</t>
        </r>
      </text>
    </comment>
    <comment ref="B5" authorId="0" shapeId="0" xr:uid="{00000000-0006-0000-0000-000003000000}">
      <text>
        <r>
          <rPr>
            <sz val="9"/>
            <color indexed="81"/>
            <rFont val="Tahoma"/>
            <family val="2"/>
          </rPr>
          <t>Select Y if you will be submitting a certificate of origin (e.g. CETA, CUSMA, CPTPP), N if not - this will impact duty applied</t>
        </r>
      </text>
    </comment>
    <comment ref="B6" authorId="0" shapeId="0" xr:uid="{02DA8A7F-343C-498D-A420-379533DFBAF7}">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00000000-0006-0000-0000-000005000000}">
      <text>
        <r>
          <rPr>
            <sz val="9"/>
            <color indexed="81"/>
            <rFont val="Tahoma"/>
            <family val="2"/>
          </rPr>
          <t xml:space="preserve">Enter Supplier Case Quote in Vendor Currency
</t>
        </r>
      </text>
    </comment>
    <comment ref="B8" authorId="1" shapeId="0" xr:uid="{322DF00A-BE4F-44CF-A8B0-38990E3970D2}">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1" shapeId="0" xr:uid="{9BE3479E-05E7-40E4-B81F-294CA08B7369}">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04ED997D-BC8C-4A8B-81BA-6AD7609EEB27}">
      <text>
        <r>
          <rPr>
            <b/>
            <sz val="9"/>
            <color indexed="81"/>
            <rFont val="Tahoma"/>
            <family val="2"/>
          </rPr>
          <t>Enter the size in litres of the selling unit - e.g. 0.750 or 1.500</t>
        </r>
      </text>
    </comment>
    <comment ref="B11" authorId="1" shapeId="0" xr:uid="{1BDE1CA8-A0EE-4989-93C2-1AEC9C5F63FA}">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8875BD05-1B0F-4CDE-8430-A151D253308C}">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70C17554-10B1-444E-8DA1-F6B6D80D8D61}">
      <text>
        <r>
          <rPr>
            <b/>
            <sz val="9"/>
            <color indexed="81"/>
            <rFont val="Tahoma"/>
            <family val="2"/>
          </rPr>
          <t>Enter the percentage of alcohol to be used in calculating LAA for excise</t>
        </r>
        <r>
          <rPr>
            <sz val="9"/>
            <color indexed="81"/>
            <rFont val="Tahoma"/>
            <family val="2"/>
          </rPr>
          <t xml:space="preserve">
</t>
        </r>
      </text>
    </comment>
    <comment ref="B16" authorId="0" shapeId="0" xr:uid="{03251B39-7E16-468B-8A08-A0A33297360E}">
      <text>
        <r>
          <rPr>
            <sz val="11"/>
            <color indexed="81"/>
            <rFont val="Tahoma"/>
            <family val="2"/>
          </rPr>
          <t xml:space="preserve"> Excise rate for imports is based on product type and alcohol percentage. 
 Excise for domestic brands is paid directly by the supplier to Canada Revenue Agency.
Refer to Canada Revenue Agency website for the most current </t>
        </r>
        <r>
          <rPr>
            <b/>
            <u/>
            <sz val="11"/>
            <color indexed="81"/>
            <rFont val="Tahoma"/>
            <family val="2"/>
          </rPr>
          <t>Excise duty on wine rates or see Contact Info</t>
        </r>
        <r>
          <rPr>
            <sz val="11"/>
            <color indexed="81"/>
            <rFont val="Tahoma"/>
            <family val="2"/>
          </rPr>
          <t xml:space="preserve">
https://www.canada.ca/en/revenue-agency/services/forms-publications/publications/edrates/excise-duty-rates.html</t>
        </r>
      </text>
    </comment>
    <comment ref="B17" authorId="0" shapeId="0" xr:uid="{00000000-0006-0000-0000-000004000000}">
      <text>
        <r>
          <rPr>
            <sz val="11"/>
            <color indexed="81"/>
            <rFont val="Tahoma"/>
            <family val="2"/>
          </rPr>
          <t xml:space="preserve">The Duty rate for wine is based on product, certificate of origin, product type and alcohol percentage. </t>
        </r>
      </text>
    </comment>
    <comment ref="B24" authorId="2" shapeId="0" xr:uid="{C229DBF8-8BF6-4AEC-AA94-997D82847319}">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5F5113E7-DCEB-4AE0-9A1E-A944A68A0541}">
      <text>
        <r>
          <rPr>
            <b/>
            <sz val="9"/>
            <color indexed="81"/>
            <rFont val="Tahoma"/>
            <family val="2"/>
          </rPr>
          <t>Select Spirit type from the drop down menu</t>
        </r>
      </text>
    </comment>
    <comment ref="B5" authorId="1" shapeId="0" xr:uid="{5FA10BF9-219E-4FEA-A576-155D67B05AE0}">
      <text>
        <r>
          <rPr>
            <sz val="9"/>
            <color indexed="81"/>
            <rFont val="Tahoma"/>
            <family val="2"/>
          </rPr>
          <t>Select Y if you will be submitting a certificate of origin (e.g. CETA, CUSMA, CPTPP), N if not - this will impact duty applied</t>
        </r>
      </text>
    </comment>
    <comment ref="B6" authorId="1" shapeId="0" xr:uid="{A2842678-7D03-4EC2-AEB8-47E2E8C39CEE}">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1" shapeId="0" xr:uid="{D379950C-8482-4004-BF47-C346B6C84F99}">
      <text>
        <r>
          <rPr>
            <sz val="9"/>
            <color indexed="81"/>
            <rFont val="Tahoma"/>
            <family val="2"/>
          </rPr>
          <t xml:space="preserve">Enter Supplier Case Quote in Vendor Currency
</t>
        </r>
      </text>
    </comment>
    <comment ref="B10" authorId="0" shapeId="0" xr:uid="{13E667E6-7C60-44DF-BF52-28032CFBA5DF}">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0" shapeId="0" xr:uid="{3521C5AF-C362-467E-931C-61603DADA504}">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0" shapeId="0" xr:uid="{86BF3F98-3403-4BF4-BCA5-40C8AA788099}">
      <text>
        <r>
          <rPr>
            <b/>
            <sz val="9"/>
            <color indexed="81"/>
            <rFont val="Tahoma"/>
            <family val="2"/>
          </rPr>
          <t>Enter the size in litres of the selling unit - e.g. 0.750 or 1.500</t>
        </r>
      </text>
    </comment>
    <comment ref="B13" authorId="0" shapeId="0" xr:uid="{AD2ED7D2-B757-4A58-9C4F-DC2439AFB5A1}">
      <text>
        <r>
          <rPr>
            <b/>
            <sz val="9"/>
            <color indexed="81"/>
            <rFont val="Tahoma"/>
            <family val="2"/>
          </rPr>
          <t>Enter the number of selling units in a shipping case - e.g. 12 or 6 bottles per case</t>
        </r>
        <r>
          <rPr>
            <sz val="9"/>
            <color indexed="81"/>
            <rFont val="Tahoma"/>
            <family val="2"/>
          </rPr>
          <t xml:space="preserve">
</t>
        </r>
      </text>
    </comment>
    <comment ref="B14" authorId="0" shapeId="0" xr:uid="{5E50E097-ABFA-4D42-97AB-90D6C0C1722C}">
      <text>
        <r>
          <rPr>
            <b/>
            <sz val="9"/>
            <color indexed="81"/>
            <rFont val="Tahoma"/>
            <family val="2"/>
          </rPr>
          <t xml:space="preserve">Enter the number of individual bottles in a selling unit </t>
        </r>
        <r>
          <rPr>
            <sz val="9"/>
            <color indexed="81"/>
            <rFont val="Tahoma"/>
            <family val="2"/>
          </rPr>
          <t xml:space="preserve">
</t>
        </r>
      </text>
    </comment>
    <comment ref="B15" authorId="0" shapeId="0" xr:uid="{E3BFA6EA-8877-4B80-9E9F-FA8EAD8FB0DD}">
      <text>
        <r>
          <rPr>
            <b/>
            <sz val="9"/>
            <color indexed="81"/>
            <rFont val="Tahoma"/>
            <family val="2"/>
          </rPr>
          <t>Enter the percentage of alcohol to be used in calculating LAA for excise</t>
        </r>
        <r>
          <rPr>
            <sz val="9"/>
            <color indexed="81"/>
            <rFont val="Tahoma"/>
            <family val="2"/>
          </rPr>
          <t xml:space="preserve">
</t>
        </r>
      </text>
    </comment>
    <comment ref="B18" authorId="1" shapeId="0" xr:uid="{CBD7612C-4313-4569-A34A-AC1E6CC68A50}">
      <text>
        <r>
          <rPr>
            <sz val="11"/>
            <color indexed="81"/>
            <rFont val="Tahoma"/>
            <family val="2"/>
          </rPr>
          <t xml:space="preserve"> Excise rate for is based on product type and alcohol percentage.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t>
        </r>
        <r>
          <rPr>
            <sz val="11"/>
            <color indexed="81"/>
            <rFont val="Tahoma"/>
            <family val="2"/>
          </rPr>
          <t xml:space="preserve">
        https://www.canada.ca/en/revenue-agency/services/forms-publications/publications/edrates/excise-duty-rates.htm
</t>
        </r>
      </text>
    </comment>
    <comment ref="B19" authorId="0" shapeId="0" xr:uid="{2313E451-937A-4B98-8212-599A441995F2}">
      <text>
        <r>
          <rPr>
            <sz val="9"/>
            <color indexed="81"/>
            <rFont val="Tahoma"/>
            <family val="2"/>
          </rPr>
          <t xml:space="preserve">Duty rate is based on certificate of origin applied and product type. </t>
        </r>
      </text>
    </comment>
    <comment ref="B24" authorId="2" shapeId="0" xr:uid="{C33E1D08-C474-493E-9BE0-030A6CD062CC}">
      <text>
        <r>
          <rPr>
            <sz val="12"/>
            <color indexed="81"/>
            <rFont val="Tahoma"/>
            <family val="2"/>
          </rPr>
          <t>Information and rates on the Ontario deposit return program can be found on the www.ontario.ca website or here 
https://www.ontario.ca/laws/regulation/210745#BK18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Baker, Kyle</author>
  </authors>
  <commentList>
    <comment ref="C4" authorId="0" shapeId="0" xr:uid="{4344910F-2D1E-48F7-A636-684A645A879B}">
      <text>
        <r>
          <rPr>
            <b/>
            <sz val="9"/>
            <color indexed="81"/>
            <rFont val="Tahoma"/>
            <family val="2"/>
          </rPr>
          <t>Select the brewery type based on the annual production per annum.  See chart within price calculator tab for production threshold</t>
        </r>
      </text>
    </comment>
    <comment ref="C5" authorId="0" shapeId="0" xr:uid="{6F657689-6131-441A-AA4B-FAF431E23A6D}">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C6" authorId="1" shapeId="0" xr:uid="{CA56A796-C34C-4D8B-A270-060A151F4AC1}">
      <text>
        <r>
          <rPr>
            <sz val="9"/>
            <color indexed="81"/>
            <rFont val="Tahoma"/>
            <family val="2"/>
          </rPr>
          <t xml:space="preserve">
Enter Supplier Case Quote in Vendor Currency</t>
        </r>
      </text>
    </comment>
    <comment ref="B9" authorId="2" shapeId="0" xr:uid="{7C0E138A-9638-4C73-AE6D-53E226F74F1E}">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0" authorId="2" shapeId="0" xr:uid="{44BA5FC3-86F3-43F3-ABA2-440CB9036075}">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2" shapeId="0" xr:uid="{F4748B9A-0164-4DB8-96C3-E7FCBD02FEF5}">
      <text>
        <r>
          <rPr>
            <b/>
            <sz val="9"/>
            <color indexed="81"/>
            <rFont val="Tahoma"/>
            <family val="2"/>
          </rPr>
          <t>Enter the size in litres of the selling unit - e.g. 0.750 or 1.500</t>
        </r>
      </text>
    </comment>
    <comment ref="B12" authorId="2" shapeId="0" xr:uid="{7258D2D7-7001-4879-9F33-2947ABFE9EE7}">
      <text>
        <r>
          <rPr>
            <b/>
            <sz val="9"/>
            <color indexed="81"/>
            <rFont val="Tahoma"/>
            <family val="2"/>
          </rPr>
          <t>Enter the number of selling units in a shipping case - e.g. 12 or 6 bottles per case</t>
        </r>
        <r>
          <rPr>
            <sz val="9"/>
            <color indexed="81"/>
            <rFont val="Tahoma"/>
            <family val="2"/>
          </rPr>
          <t xml:space="preserve">
</t>
        </r>
      </text>
    </comment>
    <comment ref="B13" authorId="2" shapeId="0" xr:uid="{D7314851-0492-448A-9504-F430AB8E4DF6}">
      <text>
        <r>
          <rPr>
            <b/>
            <sz val="9"/>
            <color indexed="81"/>
            <rFont val="Tahoma"/>
            <family val="2"/>
          </rPr>
          <t xml:space="preserve">Enter the number of individual bottles in a selling unit </t>
        </r>
        <r>
          <rPr>
            <sz val="9"/>
            <color indexed="81"/>
            <rFont val="Tahoma"/>
            <family val="2"/>
          </rPr>
          <t xml:space="preserve">
</t>
        </r>
      </text>
    </comment>
    <comment ref="B14" authorId="2" shapeId="0" xr:uid="{98351F17-1122-4F2E-8EEC-073369A74485}">
      <text>
        <r>
          <rPr>
            <b/>
            <sz val="9"/>
            <color indexed="81"/>
            <rFont val="Tahoma"/>
            <family val="2"/>
          </rPr>
          <t>Enter the percentage of alcohol to be used in calculating LAA for excise</t>
        </r>
        <r>
          <rPr>
            <sz val="9"/>
            <color indexed="81"/>
            <rFont val="Tahoma"/>
            <family val="2"/>
          </rPr>
          <t xml:space="preserve">
</t>
        </r>
      </text>
    </comment>
    <comment ref="C17" authorId="0" shapeId="0" xr:uid="{FD1AE685-6892-4782-A866-944AB3158964}">
      <text>
        <r>
          <rPr>
            <b/>
            <sz val="9"/>
            <color indexed="81"/>
            <rFont val="Tahoma"/>
            <family val="2"/>
          </rPr>
          <t>This rate is applied to all beer</t>
        </r>
      </text>
    </comment>
    <comment ref="C18" authorId="0" shapeId="0" xr:uid="{1E631FD3-748A-430C-A275-1CC8C4D433C0}">
      <text>
        <r>
          <rPr>
            <b/>
            <sz val="9"/>
            <color indexed="81"/>
            <rFont val="Tahoma"/>
            <family val="2"/>
          </rPr>
          <t>This rate is applied to beer distributed through the LCBO warehouse system</t>
        </r>
      </text>
    </comment>
    <comment ref="C19" authorId="0" shapeId="0" xr:uid="{852EDFD1-742D-4D0D-AE7C-1AE8969EF72C}">
      <text>
        <r>
          <rPr>
            <b/>
            <sz val="9"/>
            <color indexed="81"/>
            <rFont val="Tahoma"/>
            <family val="2"/>
          </rPr>
          <t>The rate applied is based on the brewery type selected</t>
        </r>
      </text>
    </comment>
    <comment ref="C20" authorId="0" shapeId="0" xr:uid="{E1025604-8D0D-4E48-A2AB-040E4C0E7993}">
      <text>
        <r>
          <rPr>
            <b/>
            <sz val="9"/>
            <color indexed="81"/>
            <rFont val="Tahoma"/>
            <family val="2"/>
          </rPr>
          <t>The rate applied is the standard for all beer</t>
        </r>
      </text>
    </comment>
    <comment ref="C21" authorId="0" shapeId="0" xr:uid="{1D5A2FF9-5781-41AF-B6A6-F5729374948F}">
      <text>
        <r>
          <rPr>
            <b/>
            <sz val="9"/>
            <color indexed="81"/>
            <rFont val="Tahoma"/>
            <family val="2"/>
          </rPr>
          <t>The rate applied is the standard for all non-refillable packages</t>
        </r>
      </text>
    </comment>
    <comment ref="B22" authorId="1" shapeId="0" xr:uid="{59B122DF-F26D-4579-AB33-F054A67ABDA7}">
      <text>
        <r>
          <rPr>
            <sz val="12"/>
            <color indexed="81"/>
            <rFont val="Tahoma"/>
            <family val="2"/>
          </rPr>
          <t>Information and rates on the Ontario deposit return program can be found on the www.ontario.ca website or on the Contact Info worksheet 
https://www.ontario.ca/laws/regulation/210745#BK18</t>
        </r>
      </text>
    </comment>
    <comment ref="C25" authorId="0" shapeId="0" xr:uid="{40EBC82C-39D9-41C3-B523-3661FC141327}">
      <text>
        <r>
          <rPr>
            <b/>
            <sz val="9"/>
            <color indexed="81"/>
            <rFont val="Tahoma"/>
            <family val="2"/>
          </rPr>
          <t>Beer is duty free.  In most cases zero should be entered.  There is duty on malt based coolers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037327FD-0012-4F4A-B788-B80D8E0E6177}">
      <text>
        <r>
          <rPr>
            <sz val="9"/>
            <color indexed="81"/>
            <rFont val="Tahoma"/>
            <family val="2"/>
          </rPr>
          <t>Select 'R' for regular brewery or 'M' for micro brewery (under 50,000 HL annual production).</t>
        </r>
      </text>
    </comment>
    <comment ref="C5" authorId="0" shapeId="0" xr:uid="{C495259E-8E98-43C6-9CBA-3BBE8FF31F10}">
      <text>
        <r>
          <rPr>
            <sz val="9"/>
            <color indexed="81"/>
            <rFont val="Tahoma"/>
            <family val="2"/>
          </rPr>
          <t>Select 'Y' for bottles that will be re-filled; select 'N' for cans and other non-refillable containers.</t>
        </r>
      </text>
    </comment>
    <comment ref="B7" authorId="0" shapeId="0" xr:uid="{FD19F359-FC38-4831-905C-DBDFF0C8536D}">
      <text>
        <r>
          <rPr>
            <sz val="9"/>
            <color indexed="81"/>
            <rFont val="Tahoma"/>
            <family val="2"/>
          </rPr>
          <t xml:space="preserve">Enter Supplier Case Quote in Vendor Currency
</t>
        </r>
      </text>
    </comment>
    <comment ref="B10" authorId="1" shapeId="0" xr:uid="{959C6972-C7C0-43DC-B5EE-A3BCA1D0FA6B}">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1" shapeId="0" xr:uid="{C16A967C-3204-4874-A314-CA1F8C7D5932}">
      <text>
        <r>
          <rPr>
            <b/>
            <sz val="9"/>
            <color indexed="81"/>
            <rFont val="Tahoma"/>
            <family val="2"/>
          </rPr>
          <t>Enter the size in litres of the selling unit - e.g. 0.750 or 1.500</t>
        </r>
      </text>
    </comment>
    <comment ref="B12" authorId="1" shapeId="0" xr:uid="{5E16F33C-63D6-4E79-8A26-52BB39503CEB}">
      <text>
        <r>
          <rPr>
            <b/>
            <sz val="9"/>
            <color indexed="81"/>
            <rFont val="Tahoma"/>
            <family val="2"/>
          </rPr>
          <t>Enter the number of selling units in a shipping case - e.g. 12 or 6 bottles per case</t>
        </r>
        <r>
          <rPr>
            <sz val="9"/>
            <color indexed="81"/>
            <rFont val="Tahoma"/>
            <family val="2"/>
          </rPr>
          <t xml:space="preserve">
</t>
        </r>
      </text>
    </comment>
    <comment ref="B13" authorId="1" shapeId="0" xr:uid="{C4BFD73A-3AB1-4D4D-8545-AC3999BCAFF9}">
      <text>
        <r>
          <rPr>
            <b/>
            <sz val="9"/>
            <color indexed="81"/>
            <rFont val="Tahoma"/>
            <family val="2"/>
          </rPr>
          <t xml:space="preserve">Enter the number of individual bottles in a selling unit </t>
        </r>
        <r>
          <rPr>
            <sz val="9"/>
            <color indexed="81"/>
            <rFont val="Tahoma"/>
            <family val="2"/>
          </rPr>
          <t xml:space="preserve">
</t>
        </r>
      </text>
    </comment>
    <comment ref="B14" authorId="1" shapeId="0" xr:uid="{29EB1660-4713-431A-88AA-6B2F8005E7F8}">
      <text>
        <r>
          <rPr>
            <b/>
            <sz val="9"/>
            <color indexed="81"/>
            <rFont val="Tahoma"/>
            <family val="2"/>
          </rPr>
          <t>Enter the percentage of alcohol to be used in calculating LAA for excise</t>
        </r>
        <r>
          <rPr>
            <sz val="9"/>
            <color indexed="81"/>
            <rFont val="Tahoma"/>
            <family val="2"/>
          </rPr>
          <t xml:space="preserve">
</t>
        </r>
      </text>
    </comment>
    <comment ref="C15" authorId="0" shapeId="0" xr:uid="{3BDEA64E-6D42-4E59-819D-B6F407CCECD3}">
      <text>
        <r>
          <rPr>
            <sz val="9"/>
            <color indexed="81"/>
            <rFont val="Tahoma"/>
            <family val="2"/>
          </rPr>
          <t>This field is calculated.   It is the supplier quote based on the desired home consumer price entered.  Use this to complete NISS applications and for invoicing for direct delivery</t>
        </r>
      </text>
    </comment>
    <comment ref="C17" authorId="0" shapeId="0" xr:uid="{458208B3-4F95-4A29-A9DA-D64264969A68}">
      <text>
        <r>
          <rPr>
            <b/>
            <sz val="9"/>
            <color indexed="81"/>
            <rFont val="Tahoma"/>
            <family val="2"/>
          </rPr>
          <t>This rate is applied to all beer</t>
        </r>
      </text>
    </comment>
    <comment ref="C18" authorId="0" shapeId="0" xr:uid="{BF0A3649-1C3F-41A1-9FF5-A7DA02CA1926}">
      <text>
        <r>
          <rPr>
            <b/>
            <sz val="9"/>
            <color indexed="81"/>
            <rFont val="Tahoma"/>
            <family val="2"/>
          </rPr>
          <t>This rate is applied to beer distributed through the LCBO warehouse system</t>
        </r>
      </text>
    </comment>
    <comment ref="C19" authorId="0" shapeId="0" xr:uid="{3A4B055D-D6C8-41DB-92FA-12A8B6391F16}">
      <text>
        <r>
          <rPr>
            <b/>
            <sz val="9"/>
            <color indexed="81"/>
            <rFont val="Tahoma"/>
            <family val="2"/>
          </rPr>
          <t>The rate applied is based on the brewery type selected</t>
        </r>
      </text>
    </comment>
    <comment ref="C20" authorId="0" shapeId="0" xr:uid="{CF8F710E-D6F7-47B8-9444-3F9D2FE02719}">
      <text>
        <r>
          <rPr>
            <b/>
            <sz val="9"/>
            <color indexed="81"/>
            <rFont val="Tahoma"/>
            <family val="2"/>
          </rPr>
          <t>The rate applied is the standard for all beer</t>
        </r>
      </text>
    </comment>
    <comment ref="C21" authorId="0" shapeId="0" xr:uid="{A2CCA730-A744-43BE-A0D4-6BB215DB7E7B}">
      <text>
        <r>
          <rPr>
            <b/>
            <sz val="9"/>
            <color indexed="81"/>
            <rFont val="Tahoma"/>
            <family val="2"/>
          </rPr>
          <t>The rate applied is the standard for all non-refillable packages</t>
        </r>
      </text>
    </comment>
    <comment ref="B22" authorId="2" shapeId="0" xr:uid="{6A6AFB89-3FC1-4673-A548-F4AC6D0D8A8B}">
      <text>
        <r>
          <rPr>
            <sz val="12"/>
            <color indexed="81"/>
            <rFont val="Tahoma"/>
            <family val="2"/>
          </rPr>
          <t>Information and rates on the Ontario deposit return program can be found on the www.ontario.ca website or on the Contact Info worksheet 
https://www.ontario.ca/laws/regulation/210745#BK18</t>
        </r>
      </text>
    </comment>
    <comment ref="C25" authorId="0" shapeId="0" xr:uid="{57068A0E-F19D-4678-87D9-C344A513081E}">
      <text>
        <r>
          <rPr>
            <b/>
            <sz val="9"/>
            <color indexed="81"/>
            <rFont val="Tahoma"/>
            <family val="2"/>
          </rPr>
          <t>Beer is duty free.  In most cases zero should be entered.  There is duty on malt based coolers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Baker, Kyle</author>
  </authors>
  <commentList>
    <comment ref="C4" authorId="0" shapeId="0" xr:uid="{5855BB7C-D39D-47C6-BF4B-10AE9569B1E7}">
      <text>
        <r>
          <rPr>
            <b/>
            <sz val="9"/>
            <color indexed="81"/>
            <rFont val="Tahoma"/>
            <family val="2"/>
          </rPr>
          <t>Select the brewery type based on the annual production per annum.  See chart within price calculator tab for production threshold</t>
        </r>
      </text>
    </comment>
    <comment ref="B5" authorId="1" shapeId="0" xr:uid="{8EFE9DEB-CF8D-4B34-9B86-E726F1E144D6}">
      <text>
        <r>
          <rPr>
            <b/>
            <sz val="9"/>
            <color indexed="81"/>
            <rFont val="Tahoma"/>
            <family val="2"/>
          </rPr>
          <t>Select USA/Mexico if valid under CUSMA</t>
        </r>
      </text>
    </comment>
    <comment ref="C6" authorId="0" shapeId="0" xr:uid="{AC981C01-B8F2-41E7-873E-C2321E4964E3}">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7" authorId="2" shapeId="0" xr:uid="{64D02EDD-B467-467E-87A8-371CBC632D75}">
      <text>
        <r>
          <rPr>
            <b/>
            <sz val="9"/>
            <color indexed="81"/>
            <rFont val="Tahoma"/>
            <family val="2"/>
          </rPr>
          <t>Enter Supplier Case Quote in Vendor Currency</t>
        </r>
        <r>
          <rPr>
            <sz val="9"/>
            <color indexed="81"/>
            <rFont val="Tahoma"/>
            <family val="2"/>
          </rPr>
          <t xml:space="preserve">
</t>
        </r>
      </text>
    </comment>
    <comment ref="B8" authorId="2" shapeId="0" xr:uid="{A8934601-842C-4A33-AA0E-8203621B22A8}">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2" shapeId="0" xr:uid="{76A35BC7-6281-4324-A230-F5009E3EEF4A}">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2" shapeId="0" xr:uid="{2AE13D2F-C165-4DD7-A048-4DD800A32BB9}">
      <text>
        <r>
          <rPr>
            <b/>
            <sz val="9"/>
            <color indexed="81"/>
            <rFont val="Tahoma"/>
            <family val="2"/>
          </rPr>
          <t>Enter the size in litres of the selling unit - e.g. 0.750 or 1.500</t>
        </r>
      </text>
    </comment>
    <comment ref="B12" authorId="2" shapeId="0" xr:uid="{E4F543F4-6FDE-4C11-91CE-4D87729F36A8}">
      <text>
        <r>
          <rPr>
            <b/>
            <sz val="9"/>
            <color indexed="81"/>
            <rFont val="Tahoma"/>
            <family val="2"/>
          </rPr>
          <t>Enter the number of selling units in a shipping case - e.g. 12 or 6 bottles per case</t>
        </r>
        <r>
          <rPr>
            <sz val="9"/>
            <color indexed="81"/>
            <rFont val="Tahoma"/>
            <family val="2"/>
          </rPr>
          <t xml:space="preserve">
</t>
        </r>
      </text>
    </comment>
    <comment ref="B13" authorId="2" shapeId="0" xr:uid="{BEBEC0A1-83A7-40E0-8581-BFCA68701029}">
      <text>
        <r>
          <rPr>
            <b/>
            <sz val="9"/>
            <color indexed="81"/>
            <rFont val="Tahoma"/>
            <family val="2"/>
          </rPr>
          <t xml:space="preserve">Enter the number of individual bottles in a selling unit </t>
        </r>
        <r>
          <rPr>
            <sz val="9"/>
            <color indexed="81"/>
            <rFont val="Tahoma"/>
            <family val="2"/>
          </rPr>
          <t xml:space="preserve">
</t>
        </r>
      </text>
    </comment>
    <comment ref="B14" authorId="2" shapeId="0" xr:uid="{23F10C41-3537-478D-90A1-278B7AC1D822}">
      <text>
        <r>
          <rPr>
            <b/>
            <sz val="9"/>
            <color indexed="81"/>
            <rFont val="Tahoma"/>
            <family val="2"/>
          </rPr>
          <t>Enter the percentage of alcohol to be used in calculating LAA for excise</t>
        </r>
        <r>
          <rPr>
            <sz val="9"/>
            <color indexed="81"/>
            <rFont val="Tahoma"/>
            <family val="2"/>
          </rPr>
          <t xml:space="preserve">
</t>
        </r>
      </text>
    </comment>
    <comment ref="C17" authorId="0" shapeId="0" xr:uid="{9BD4A9C7-1A47-41E0-B60F-494F7B469A70}">
      <text>
        <r>
          <rPr>
            <b/>
            <sz val="9"/>
            <color indexed="81"/>
            <rFont val="Tahoma"/>
            <family val="2"/>
          </rPr>
          <t>This rate is not applicable to KEGs</t>
        </r>
      </text>
    </comment>
    <comment ref="C19" authorId="0" shapeId="0" xr:uid="{10C6CD91-C11D-4F26-B672-AF95B771A7DD}">
      <text>
        <r>
          <rPr>
            <b/>
            <sz val="9"/>
            <color indexed="81"/>
            <rFont val="Tahoma"/>
            <family val="2"/>
          </rPr>
          <t>The rate applied is based on the brewery type selected</t>
        </r>
      </text>
    </comment>
    <comment ref="C20" authorId="0" shapeId="0" xr:uid="{84EE9FEF-1301-4308-A338-4096FB49DD38}">
      <text>
        <r>
          <rPr>
            <b/>
            <sz val="9"/>
            <color indexed="81"/>
            <rFont val="Tahoma"/>
            <family val="2"/>
          </rPr>
          <t>The rate applied is the standard for all beer</t>
        </r>
      </text>
    </comment>
    <comment ref="C21" authorId="0" shapeId="0" xr:uid="{2D61D5FC-B7C3-4AF7-88FA-B399CF3EBA12}">
      <text>
        <r>
          <rPr>
            <b/>
            <sz val="9"/>
            <color indexed="81"/>
            <rFont val="Tahoma"/>
            <family val="2"/>
          </rPr>
          <t>The rate applied is the standard for all non-refillable packages</t>
        </r>
      </text>
    </comment>
    <comment ref="B22" authorId="1" shapeId="0" xr:uid="{73BFF29D-6162-4B24-9D19-F91529708E3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32C66022-C86B-4BBB-9C18-C4EE99C85D3E}">
      <text>
        <r>
          <rPr>
            <b/>
            <sz val="9"/>
            <color indexed="81"/>
            <rFont val="Tahoma"/>
            <family val="2"/>
          </rPr>
          <t>Select the brewery type based on the annual production per annum.  See chart within price calculator tab for production threshold</t>
        </r>
      </text>
    </comment>
    <comment ref="C5" authorId="0" shapeId="0" xr:uid="{B276A25D-FBE6-4EB8-A605-8E589AD3B792}">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1" shapeId="0" xr:uid="{3AA53D6A-93A2-41F9-8224-8DD9200C9FED}">
      <text>
        <r>
          <rPr>
            <b/>
            <sz val="9"/>
            <color indexed="81"/>
            <rFont val="Tahoma"/>
            <family val="2"/>
          </rPr>
          <t>Enter Supplier Case Quote in Vendor Currency</t>
        </r>
        <r>
          <rPr>
            <sz val="9"/>
            <color indexed="81"/>
            <rFont val="Tahoma"/>
            <family val="2"/>
          </rPr>
          <t xml:space="preserve">
</t>
        </r>
      </text>
    </comment>
    <comment ref="B7" authorId="1" shapeId="0" xr:uid="{BCEEB850-3EA6-4C77-B601-631038A3D716}">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8" authorId="1" shapeId="0" xr:uid="{146E5FF2-54C5-4610-94CD-230B4C4E5E02}">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D6BB920F-39D3-433F-AEC5-E7E4E7328133}">
      <text>
        <r>
          <rPr>
            <b/>
            <sz val="9"/>
            <color indexed="81"/>
            <rFont val="Tahoma"/>
            <family val="2"/>
          </rPr>
          <t>Enter the size in litres of the selling unit - e.g. 0.750 or 1.500</t>
        </r>
      </text>
    </comment>
    <comment ref="B11" authorId="1" shapeId="0" xr:uid="{766B897E-201E-4380-854D-A7BAE8C1CC00}">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3AFF27FE-73E6-44D4-9FF3-FD606CA95669}">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E007E8AA-1FB4-4FEA-A184-E9AEB1AC8971}">
      <text>
        <r>
          <rPr>
            <b/>
            <sz val="9"/>
            <color indexed="81"/>
            <rFont val="Tahoma"/>
            <family val="2"/>
          </rPr>
          <t>Enter the percentage of alcohol to be used in calculating LAA for excise</t>
        </r>
        <r>
          <rPr>
            <sz val="9"/>
            <color indexed="81"/>
            <rFont val="Tahoma"/>
            <family val="2"/>
          </rPr>
          <t xml:space="preserve">
</t>
        </r>
      </text>
    </comment>
    <comment ref="C16" authorId="0" shapeId="0" xr:uid="{937DF63D-777C-44E0-B645-D9DA275700BB}">
      <text>
        <r>
          <rPr>
            <b/>
            <sz val="9"/>
            <color indexed="81"/>
            <rFont val="Tahoma"/>
            <family val="2"/>
          </rPr>
          <t>This rate is not applicable to KEGs</t>
        </r>
      </text>
    </comment>
    <comment ref="C18" authorId="0" shapeId="0" xr:uid="{C1F7B635-834C-4A39-9F36-E0329468AD41}">
      <text>
        <r>
          <rPr>
            <b/>
            <sz val="9"/>
            <color indexed="81"/>
            <rFont val="Tahoma"/>
            <family val="2"/>
          </rPr>
          <t>The rate applied is based on the brewery type selected</t>
        </r>
      </text>
    </comment>
    <comment ref="C19" authorId="0" shapeId="0" xr:uid="{7AA32A37-A54C-4BA6-8496-BF61EB8190E0}">
      <text>
        <r>
          <rPr>
            <b/>
            <sz val="9"/>
            <color indexed="81"/>
            <rFont val="Tahoma"/>
            <family val="2"/>
          </rPr>
          <t>The rate applied is the standard for all beer</t>
        </r>
      </text>
    </comment>
    <comment ref="C20" authorId="0" shapeId="0" xr:uid="{4D7CCC39-4554-4FFE-B4BC-BD5BBA36FCF2}">
      <text>
        <r>
          <rPr>
            <b/>
            <sz val="9"/>
            <color indexed="81"/>
            <rFont val="Tahoma"/>
            <family val="2"/>
          </rPr>
          <t>The rate applied is the standard for all non-refillable packages</t>
        </r>
      </text>
    </comment>
    <comment ref="B21" authorId="2" shapeId="0" xr:uid="{06C61C14-0BEC-44A8-BFB9-CB164AA6A5CC}">
      <text>
        <r>
          <rPr>
            <sz val="12"/>
            <color indexed="81"/>
            <rFont val="Tahoma"/>
            <family val="2"/>
          </rPr>
          <t>Information and rates on the Ontario deposit return program can be found on the www.ontario.ca website or on the Contact Info worksheet
https://www.ontario.ca/laws/regulation/210745#BK18</t>
        </r>
      </text>
    </comment>
    <comment ref="C24" authorId="0" shapeId="0" xr:uid="{06C03EF5-0442-4024-A8A7-C7202A536BC3}">
      <text>
        <r>
          <rPr>
            <b/>
            <sz val="9"/>
            <color indexed="81"/>
            <rFont val="Tahoma"/>
            <family val="2"/>
          </rPr>
          <t>Beer is duty free.  In most cases zero should be entered.  There is duty on malt based coolers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Baker, Kyle</author>
    <author>Cicciarella, Stephanie</author>
    <author>LCBO</author>
  </authors>
  <commentList>
    <comment ref="B4" authorId="0" shapeId="0" xr:uid="{E21B667A-922C-4C8A-8D41-1D3AFFDEC9E1}">
      <text>
        <r>
          <rPr>
            <b/>
            <sz val="9"/>
            <color indexed="81"/>
            <rFont val="Tahoma"/>
            <family val="2"/>
          </rPr>
          <t>Select Spirit type from the drop down menu</t>
        </r>
      </text>
    </comment>
    <comment ref="B5" authorId="0" shapeId="0" xr:uid="{7EEFABB7-8C16-48CE-A72B-C8191F872448}">
      <text>
        <r>
          <rPr>
            <b/>
            <sz val="9"/>
            <color indexed="81"/>
            <rFont val="Tahoma"/>
            <family val="2"/>
          </rPr>
          <t>Select Y if you will be submitting a certificate of origin (e.g. CETA, CUSMA, CPTPP), N if not - this will impact duty applied. Domestic = N</t>
        </r>
        <r>
          <rPr>
            <sz val="9"/>
            <color indexed="81"/>
            <rFont val="Tahoma"/>
            <family val="2"/>
          </rPr>
          <t xml:space="preserve">
</t>
        </r>
      </text>
    </comment>
    <comment ref="B6" authorId="1" shapeId="0" xr:uid="{6AE72CC1-BEBD-4477-AC04-3318C2C90C95}">
      <text>
        <r>
          <rPr>
            <b/>
            <sz val="9"/>
            <color indexed="81"/>
            <rFont val="Tahoma"/>
            <family val="2"/>
          </rPr>
          <t>Select USA/Mexico if valid under CUSMA</t>
        </r>
      </text>
    </comment>
    <comment ref="B7" authorId="0" shapeId="0" xr:uid="{27C0FB58-D3ED-4342-8015-A5EB2CDC8CE6}">
      <text>
        <r>
          <rPr>
            <b/>
            <sz val="9"/>
            <color indexed="81"/>
            <rFont val="Tahoma"/>
            <family val="2"/>
          </rPr>
          <t>Enter Supplier Case Quote in Vendor Currency</t>
        </r>
        <r>
          <rPr>
            <sz val="9"/>
            <color indexed="81"/>
            <rFont val="Tahoma"/>
            <family val="2"/>
          </rPr>
          <t xml:space="preserve">
</t>
        </r>
      </text>
    </comment>
    <comment ref="B8" authorId="0" shapeId="0" xr:uid="{B63E850F-31B6-4AD1-888F-A0E601ACC8E4}">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BFFEDD59-9954-45F5-9E93-0E9FBFDA8603}">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0" shapeId="0" xr:uid="{694608EC-0E88-4E94-9BD9-F2979E1B6F3F}">
      <text>
        <r>
          <rPr>
            <b/>
            <sz val="9"/>
            <color indexed="81"/>
            <rFont val="Tahoma"/>
            <family val="2"/>
          </rPr>
          <t>Enter the size in litres of the selling unit - e.g. 0.750 or 1.500</t>
        </r>
      </text>
    </comment>
    <comment ref="B12" authorId="0" shapeId="0" xr:uid="{B901DB79-61E0-42B7-9C49-45BA9490F688}">
      <text>
        <r>
          <rPr>
            <b/>
            <sz val="9"/>
            <color indexed="81"/>
            <rFont val="Tahoma"/>
            <family val="2"/>
          </rPr>
          <t>Enter the number of selling units in a shipping case - e.g. 12 or 6 bottles per case</t>
        </r>
        <r>
          <rPr>
            <sz val="9"/>
            <color indexed="81"/>
            <rFont val="Tahoma"/>
            <family val="2"/>
          </rPr>
          <t xml:space="preserve">
</t>
        </r>
      </text>
    </comment>
    <comment ref="B13" authorId="0" shapeId="0" xr:uid="{DF3BBBD2-F8DC-4E32-96DF-50FA13513C6A}">
      <text>
        <r>
          <rPr>
            <b/>
            <sz val="9"/>
            <color indexed="81"/>
            <rFont val="Tahoma"/>
            <family val="2"/>
          </rPr>
          <t xml:space="preserve">Enter the number of individual bottles in a selling unit </t>
        </r>
        <r>
          <rPr>
            <sz val="9"/>
            <color indexed="81"/>
            <rFont val="Tahoma"/>
            <family val="2"/>
          </rPr>
          <t xml:space="preserve">
</t>
        </r>
      </text>
    </comment>
    <comment ref="B14" authorId="0" shapeId="0" xr:uid="{DC7C113B-C682-47D0-AB07-BF1CB3BA28D7}">
      <text>
        <r>
          <rPr>
            <b/>
            <sz val="9"/>
            <color indexed="81"/>
            <rFont val="Tahoma"/>
            <family val="2"/>
          </rPr>
          <t>Enter the percentage of alcohol to be used in calculating LAA for excise</t>
        </r>
        <r>
          <rPr>
            <sz val="9"/>
            <color indexed="81"/>
            <rFont val="Tahoma"/>
            <family val="2"/>
          </rPr>
          <t xml:space="preserve">
</t>
        </r>
      </text>
    </comment>
    <comment ref="B17" authorId="2" shapeId="0" xr:uid="{3D8A2569-0485-4B99-A5CA-B64DD0D52D2B}">
      <text>
        <r>
          <rPr>
            <sz val="11"/>
            <color indexed="81"/>
            <rFont val="Tahoma"/>
            <family val="2"/>
          </rPr>
          <t xml:space="preserve"> Excise rate for is based on product type and alcohol percentage. 
There is no excise on domestic wine coolers and ciders made from 100% Canadian-grown agriculture products.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 or see Contact Info worksheet</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
</t>
        </r>
      </text>
    </comment>
    <comment ref="B18" authorId="1" shapeId="0" xr:uid="{5751DB32-CB8E-4593-98C0-FB965EBDCE43}">
      <text>
        <r>
          <rPr>
            <b/>
            <sz val="9"/>
            <color indexed="81"/>
            <rFont val="Tahoma"/>
            <family val="2"/>
          </rPr>
          <t>US imports are duty free and other imports are assesed at the Federal Import Duty Rate</t>
        </r>
      </text>
    </comment>
    <comment ref="B24" authorId="1" shapeId="0" xr:uid="{30FF001F-0563-480F-B8FA-4631748F2AD4}">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30F8FD5C-BB21-49A4-BEC7-80E2555333A9}">
      <text>
        <r>
          <rPr>
            <b/>
            <sz val="9"/>
            <color indexed="81"/>
            <rFont val="Tahoma"/>
            <family val="2"/>
          </rPr>
          <t>Select Spirit type from the drop down menu</t>
        </r>
      </text>
    </comment>
    <comment ref="B5" authorId="0" shapeId="0" xr:uid="{6B5907C0-698A-478B-A243-80096E316DAB}">
      <text>
        <r>
          <rPr>
            <b/>
            <sz val="9"/>
            <color indexed="81"/>
            <rFont val="Tahoma"/>
            <family val="2"/>
          </rPr>
          <t>Select Y if you will be submitting a certificate of origin (e.g. CETA, CUSMA, CPTPP), N if not - this will impact duty applied. Domestic = N</t>
        </r>
        <r>
          <rPr>
            <sz val="9"/>
            <color indexed="81"/>
            <rFont val="Tahoma"/>
            <family val="2"/>
          </rPr>
          <t xml:space="preserve">
</t>
        </r>
      </text>
    </comment>
    <comment ref="B6" authorId="1" shapeId="0" xr:uid="{D2BE1691-37E4-44CA-8750-CB3AD8CF69EC}">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6E467156-62E4-46B2-A0DE-22BA8969CD00}">
      <text>
        <r>
          <rPr>
            <b/>
            <sz val="9"/>
            <color indexed="81"/>
            <rFont val="Tahoma"/>
            <family val="2"/>
          </rPr>
          <t>Enter Supplier Case Quote in Vendor Currency</t>
        </r>
        <r>
          <rPr>
            <sz val="9"/>
            <color indexed="81"/>
            <rFont val="Tahoma"/>
            <family val="2"/>
          </rPr>
          <t xml:space="preserve">
</t>
        </r>
      </text>
    </comment>
    <comment ref="B8" authorId="0" shapeId="0" xr:uid="{839C2042-A343-4862-8626-A0FCF597F9B3}">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D7355D70-B487-40D8-8CEA-EA323DCD36E1}">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0" shapeId="0" xr:uid="{AD8066E1-70A7-4769-A3F5-0A48C87172E8}">
      <text>
        <r>
          <rPr>
            <b/>
            <sz val="9"/>
            <color indexed="81"/>
            <rFont val="Tahoma"/>
            <family val="2"/>
          </rPr>
          <t>Enter the size in litres of the selling unit - e.g. 0.750 or 1.500</t>
        </r>
      </text>
    </comment>
    <comment ref="B11" authorId="0" shapeId="0" xr:uid="{292A0FAA-CC80-4FC2-9322-BE3C50807F3D}">
      <text>
        <r>
          <rPr>
            <b/>
            <sz val="9"/>
            <color indexed="81"/>
            <rFont val="Tahoma"/>
            <family val="2"/>
          </rPr>
          <t>Enter the number of selling units in a shipping case - e.g. 12 or 6 bottles per case</t>
        </r>
        <r>
          <rPr>
            <sz val="9"/>
            <color indexed="81"/>
            <rFont val="Tahoma"/>
            <family val="2"/>
          </rPr>
          <t xml:space="preserve">
</t>
        </r>
      </text>
    </comment>
    <comment ref="B12" authorId="0" shapeId="0" xr:uid="{ACD4E796-DC36-4745-9E93-8C38F17A5C49}">
      <text>
        <r>
          <rPr>
            <b/>
            <sz val="9"/>
            <color indexed="81"/>
            <rFont val="Tahoma"/>
            <family val="2"/>
          </rPr>
          <t xml:space="preserve">Enter the number of individual bottles in a selling unit </t>
        </r>
        <r>
          <rPr>
            <sz val="9"/>
            <color indexed="81"/>
            <rFont val="Tahoma"/>
            <family val="2"/>
          </rPr>
          <t xml:space="preserve">
</t>
        </r>
      </text>
    </comment>
    <comment ref="B13" authorId="0" shapeId="0" xr:uid="{5BD50A37-F28F-4A40-B7B1-BBFB1666C86C}">
      <text>
        <r>
          <rPr>
            <b/>
            <sz val="9"/>
            <color indexed="81"/>
            <rFont val="Tahoma"/>
            <family val="2"/>
          </rPr>
          <t>Enter the percentage of alcohol to be used in calculating LAA for excise</t>
        </r>
        <r>
          <rPr>
            <sz val="9"/>
            <color indexed="81"/>
            <rFont val="Tahoma"/>
            <family val="2"/>
          </rPr>
          <t xml:space="preserve">
</t>
        </r>
      </text>
    </comment>
    <comment ref="B16" authorId="1" shapeId="0" xr:uid="{80596188-EE45-4B68-850C-B3AB4FC34402}">
      <text>
        <r>
          <rPr>
            <sz val="11"/>
            <color indexed="81"/>
            <rFont val="Tahoma"/>
            <family val="2"/>
          </rPr>
          <t>Excise rate for is based on product type and alcohol percentage. 
Domestic Direct Delivery products are excise paid therefore the supplier remits excise directly to Canada revenue agency. Excise will be 0 for Direct Delivery.
Refer to Canada Revenue Agency website for the most current rates in effect.    See Contact Info worksheet for links
https://www.canada.ca/en/revenue-agency/services/forms-publications/publications/edrates/excise-duty-rates.html</t>
        </r>
      </text>
    </comment>
    <comment ref="B17" authorId="0" shapeId="0" xr:uid="{8D156BC5-AF58-4756-B82D-2107CF262783}">
      <text>
        <r>
          <rPr>
            <sz val="9"/>
            <color indexed="81"/>
            <rFont val="Tahoma"/>
            <family val="2"/>
          </rPr>
          <t xml:space="preserve">Duty rate is based on certificate of origin applied and product type. </t>
        </r>
      </text>
    </comment>
    <comment ref="B23" authorId="2" shapeId="0" xr:uid="{B3850F76-8560-4724-935C-72E5DEA80FD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F3468363-06B0-46E1-AEDC-5ADD3FEA9A46}">
      <text>
        <r>
          <rPr>
            <b/>
            <sz val="9"/>
            <color indexed="81"/>
            <rFont val="Tahoma"/>
            <family val="2"/>
          </rPr>
          <t xml:space="preserve">Select Spirit type from the drop down menu
Depending on the ABV, note the following to select the correct calculator and type of spirit
Where the ABV is 
</t>
        </r>
        <r>
          <rPr>
            <sz val="9"/>
            <color indexed="81"/>
            <rFont val="Tahoma"/>
            <family val="2"/>
          </rPr>
          <t xml:space="preserve">Less than and equal to 7% = Cooler RTD Cider ;  product type Spirits Cooler Calc
7.1%  - 17%a = Cooler RTD Cider ;  product type Low Alc/RTD Calc
17.1% and higher = Spirits Calculator
</t>
        </r>
      </text>
    </comment>
    <comment ref="B5" authorId="0" shapeId="0" xr:uid="{14DC6698-A456-4183-AF00-710BE9DE72DF}">
      <text>
        <r>
          <rPr>
            <sz val="9"/>
            <color indexed="81"/>
            <rFont val="Tahoma"/>
            <family val="2"/>
          </rPr>
          <t xml:space="preserve">The trade deal will impact the duty applied to the landed cost.
Select 
If COSD Region is Domestic ; Trade Deal = N
</t>
        </r>
        <r>
          <rPr>
            <u/>
            <sz val="9"/>
            <color indexed="81"/>
            <rFont val="Tahoma"/>
            <family val="2"/>
          </rPr>
          <t>For all others :</t>
        </r>
        <r>
          <rPr>
            <sz val="9"/>
            <color indexed="81"/>
            <rFont val="Tahoma"/>
            <family val="2"/>
          </rPr>
          <t xml:space="preserve">
</t>
        </r>
        <r>
          <rPr>
            <b/>
            <sz val="9"/>
            <color indexed="81"/>
            <rFont val="Tahoma"/>
            <family val="2"/>
          </rPr>
          <t>Y</t>
        </r>
        <r>
          <rPr>
            <sz val="9"/>
            <color indexed="81"/>
            <rFont val="Tahoma"/>
            <family val="2"/>
          </rPr>
          <t xml:space="preserve"> if there is/going to be a certificate of origin (e.g. CETA, CUSMA, CPTPP) submitted to the LCBO origin.certificates@lcbo.com
</t>
        </r>
        <r>
          <rPr>
            <b/>
            <sz val="9"/>
            <color indexed="81"/>
            <rFont val="Tahoma"/>
            <family val="2"/>
          </rPr>
          <t>N</t>
        </r>
        <r>
          <rPr>
            <sz val="9"/>
            <color indexed="81"/>
            <rFont val="Tahoma"/>
            <family val="2"/>
          </rPr>
          <t xml:space="preserve"> if not
</t>
        </r>
      </text>
    </comment>
    <comment ref="B6" authorId="1" shapeId="0" xr:uid="{98213ADC-E039-4580-8FFD-AD9630D9FA8E}">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93180BAB-91F5-4F64-9D53-190EE0A36A43}">
      <text>
        <r>
          <rPr>
            <b/>
            <sz val="9"/>
            <color indexed="81"/>
            <rFont val="Tahoma"/>
            <family val="2"/>
          </rPr>
          <t>Enter Supplier Case Quote in Vendor Currency</t>
        </r>
        <r>
          <rPr>
            <sz val="9"/>
            <color indexed="81"/>
            <rFont val="Tahoma"/>
            <family val="2"/>
          </rPr>
          <t xml:space="preserve">
</t>
        </r>
      </text>
    </comment>
    <comment ref="B8" authorId="0" shapeId="0" xr:uid="{593CFAD1-818C-4142-94D3-6A1C715E3EBF}">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BFB15466-A2C4-4CB1-9796-D630CB4496E4}">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0" shapeId="0" xr:uid="{EA99A3C5-A29F-47F6-9DC6-BBD82556CA93}">
      <text>
        <r>
          <rPr>
            <b/>
            <sz val="9"/>
            <color indexed="81"/>
            <rFont val="Tahoma"/>
            <family val="2"/>
          </rPr>
          <t>Enter the size in litres of the selling unit - e.g. 0.750 or 1.500</t>
        </r>
      </text>
    </comment>
    <comment ref="B11" authorId="0" shapeId="0" xr:uid="{C426BB9D-C2FD-4555-8CDD-B29292723834}">
      <text>
        <r>
          <rPr>
            <b/>
            <sz val="9"/>
            <color indexed="81"/>
            <rFont val="Tahoma"/>
            <family val="2"/>
          </rPr>
          <t>Enter the number of selling units in a shipping case - e.g. 12 or 6 bottles per case</t>
        </r>
        <r>
          <rPr>
            <sz val="9"/>
            <color indexed="81"/>
            <rFont val="Tahoma"/>
            <family val="2"/>
          </rPr>
          <t xml:space="preserve">
</t>
        </r>
      </text>
    </comment>
    <comment ref="B12" authorId="0" shapeId="0" xr:uid="{77EB8F84-924B-4EAF-9784-3D1EDF3B183F}">
      <text>
        <r>
          <rPr>
            <b/>
            <sz val="9"/>
            <color indexed="81"/>
            <rFont val="Tahoma"/>
            <family val="2"/>
          </rPr>
          <t xml:space="preserve">Enter the number of individual bottles in a selling unit </t>
        </r>
        <r>
          <rPr>
            <sz val="9"/>
            <color indexed="81"/>
            <rFont val="Tahoma"/>
            <family val="2"/>
          </rPr>
          <t xml:space="preserve">
</t>
        </r>
      </text>
    </comment>
    <comment ref="B13" authorId="0" shapeId="0" xr:uid="{990048C4-80D1-4220-A6B7-3B991DECB7E1}">
      <text>
        <r>
          <rPr>
            <b/>
            <sz val="9"/>
            <color indexed="81"/>
            <rFont val="Tahoma"/>
            <family val="2"/>
          </rPr>
          <t>Enter the percentage of alcohol to be used in calculating LAA for excise</t>
        </r>
        <r>
          <rPr>
            <sz val="9"/>
            <color indexed="81"/>
            <rFont val="Tahoma"/>
            <family val="2"/>
          </rPr>
          <t xml:space="preserve">
</t>
        </r>
      </text>
    </comment>
    <comment ref="B16" authorId="1" shapeId="0" xr:uid="{CF4D768C-C62F-4D95-A2C6-E481B4228CBD}">
      <text>
        <r>
          <rPr>
            <sz val="11"/>
            <color indexed="81"/>
            <rFont val="Tahoma"/>
            <family val="2"/>
          </rPr>
          <t xml:space="preserve"> Excise rate for is based on product type and alcohol percentage.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 or see Contact Info worksheet</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
</t>
        </r>
      </text>
    </comment>
    <comment ref="B17" authorId="0" shapeId="0" xr:uid="{B5ED609C-6FA5-48D6-AE78-5476EA350261}">
      <text>
        <r>
          <rPr>
            <sz val="9"/>
            <color indexed="81"/>
            <rFont val="Tahoma"/>
            <family val="2"/>
          </rPr>
          <t xml:space="preserve">Duty rate is based on certificate of origin applied and product type. </t>
        </r>
      </text>
    </comment>
    <comment ref="B23" authorId="2" shapeId="0" xr:uid="{1DF01131-0EA8-4D75-8938-8CC23D2A511F}">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s>
  <commentList>
    <comment ref="B32" authorId="0" shapeId="0" xr:uid="{CE590217-9CE5-4804-9A71-D7A169ED356F}">
      <text>
        <r>
          <rPr>
            <b/>
            <sz val="9"/>
            <color indexed="81"/>
            <rFont val="Tahoma"/>
            <family val="2"/>
          </rPr>
          <t>Beer is duty free.  In most cases zero should be entered.  There is duty on malt based coolers</t>
        </r>
      </text>
    </comment>
    <comment ref="A178" authorId="1" shapeId="0" xr:uid="{49E672E8-FC5C-458E-92E7-7B6A054FF88C}">
      <text>
        <r>
          <rPr>
            <b/>
            <sz val="9"/>
            <color indexed="81"/>
            <rFont val="Tahoma"/>
            <family val="2"/>
          </rPr>
          <t>Cicciarella, Stephanie:</t>
        </r>
        <r>
          <rPr>
            <sz val="9"/>
            <color indexed="81"/>
            <rFont val="Tahoma"/>
            <family val="2"/>
          </rPr>
          <t xml:space="preserve">
Merch code 1460 and 2260 - Use Wine rate all others use Cooler rate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25EC7DE5-0688-40EF-B990-10CC0DF73D61}">
      <text>
        <r>
          <rPr>
            <b/>
            <sz val="9"/>
            <color indexed="81"/>
            <rFont val="Tahoma"/>
            <family val="2"/>
          </rPr>
          <t>Select the brewery type based on the annual production per annum.  See chart within price calculator tab for production threshold</t>
        </r>
      </text>
    </comment>
    <comment ref="C5" authorId="0" shapeId="0" xr:uid="{3979A95F-59B1-4495-97D8-A5D131A27EE0}">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1" shapeId="0" xr:uid="{B1F56B91-2A22-467E-8E04-7D74B0B8EC52}">
      <text>
        <r>
          <rPr>
            <b/>
            <sz val="9"/>
            <color indexed="81"/>
            <rFont val="Tahoma"/>
            <family val="2"/>
          </rPr>
          <t>Enter Supplier Case Quote in Vendor Currency</t>
        </r>
        <r>
          <rPr>
            <sz val="9"/>
            <color indexed="81"/>
            <rFont val="Tahoma"/>
            <family val="2"/>
          </rPr>
          <t xml:space="preserve">
</t>
        </r>
      </text>
    </comment>
    <comment ref="B7" authorId="1" shapeId="0" xr:uid="{4C204E61-CD35-4486-83F2-6D30898A8151}">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8" authorId="1" shapeId="0" xr:uid="{2B18CB01-7E85-4C6E-9C0E-CBF960D6A34D}">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9" authorId="1" shapeId="0" xr:uid="{38358906-1DE5-418E-889A-653D3702DCFE}">
      <text>
        <r>
          <rPr>
            <b/>
            <sz val="9"/>
            <color indexed="81"/>
            <rFont val="Tahoma"/>
            <family val="2"/>
          </rPr>
          <t>Enter the size in litres of the selling unit - e.g. 0.750 or 1.500</t>
        </r>
      </text>
    </comment>
    <comment ref="B10" authorId="1" shapeId="0" xr:uid="{91332FB9-BC6B-4070-A166-B98870B3E898}">
      <text>
        <r>
          <rPr>
            <b/>
            <sz val="9"/>
            <color indexed="81"/>
            <rFont val="Tahoma"/>
            <family val="2"/>
          </rPr>
          <t>Enter the number of selling units in a shipping case - e.g. 12 or 6 bottles per case</t>
        </r>
        <r>
          <rPr>
            <sz val="9"/>
            <color indexed="81"/>
            <rFont val="Tahoma"/>
            <family val="2"/>
          </rPr>
          <t xml:space="preserve">
</t>
        </r>
      </text>
    </comment>
    <comment ref="B11" authorId="1" shapeId="0" xr:uid="{35A0C1B4-6EA0-41A6-8BB9-ADDAD7B73EE4}">
      <text>
        <r>
          <rPr>
            <b/>
            <sz val="9"/>
            <color indexed="81"/>
            <rFont val="Tahoma"/>
            <family val="2"/>
          </rPr>
          <t xml:space="preserve">Enter the number of individual bottles in a selling unit </t>
        </r>
        <r>
          <rPr>
            <sz val="9"/>
            <color indexed="81"/>
            <rFont val="Tahoma"/>
            <family val="2"/>
          </rPr>
          <t xml:space="preserve">
</t>
        </r>
      </text>
    </comment>
    <comment ref="B12" authorId="1" shapeId="0" xr:uid="{D1E0DB45-80B6-434F-966E-563E20E86437}">
      <text>
        <r>
          <rPr>
            <b/>
            <sz val="9"/>
            <color indexed="81"/>
            <rFont val="Tahoma"/>
            <family val="2"/>
          </rPr>
          <t>Enter the percentage of alcohol to be used in calculating LAA for excise</t>
        </r>
        <r>
          <rPr>
            <sz val="9"/>
            <color indexed="81"/>
            <rFont val="Tahoma"/>
            <family val="2"/>
          </rPr>
          <t xml:space="preserve">
</t>
        </r>
      </text>
    </comment>
    <comment ref="C15" authorId="0" shapeId="0" xr:uid="{0EC01F5E-F529-435B-9F2D-A9D011432380}">
      <text>
        <r>
          <rPr>
            <b/>
            <sz val="9"/>
            <color indexed="81"/>
            <rFont val="Tahoma"/>
            <family val="2"/>
          </rPr>
          <t>This rate is applied to all beer</t>
        </r>
      </text>
    </comment>
    <comment ref="C16" authorId="0" shapeId="0" xr:uid="{60C7DEA9-F27E-4FDA-BE4D-7215A78F6EB4}">
      <text>
        <r>
          <rPr>
            <b/>
            <sz val="9"/>
            <color indexed="81"/>
            <rFont val="Tahoma"/>
            <family val="2"/>
          </rPr>
          <t>This rate is applied to beer distributed through the LCBO warehouse system</t>
        </r>
      </text>
    </comment>
    <comment ref="C17" authorId="0" shapeId="0" xr:uid="{089D11A5-CEED-4ACA-8B35-6F004D240EEC}">
      <text>
        <r>
          <rPr>
            <b/>
            <sz val="9"/>
            <color indexed="81"/>
            <rFont val="Tahoma"/>
            <family val="2"/>
          </rPr>
          <t>The rate applied is based on the brewery type selected</t>
        </r>
      </text>
    </comment>
    <comment ref="C18" authorId="0" shapeId="0" xr:uid="{2904D264-FCA2-4B1B-8D34-3C7D3BF9B2DB}">
      <text>
        <r>
          <rPr>
            <b/>
            <sz val="9"/>
            <color indexed="81"/>
            <rFont val="Tahoma"/>
            <family val="2"/>
          </rPr>
          <t>The rate applied is the standard for all beer</t>
        </r>
      </text>
    </comment>
    <comment ref="C19" authorId="0" shapeId="0" xr:uid="{3DEE51C4-097D-4CE3-A4A5-197CE3337100}">
      <text>
        <r>
          <rPr>
            <b/>
            <sz val="9"/>
            <color indexed="81"/>
            <rFont val="Tahoma"/>
            <family val="2"/>
          </rPr>
          <t>The rate applied is the standard for all non-refillable packages</t>
        </r>
      </text>
    </comment>
    <comment ref="B20" authorId="2" shapeId="0" xr:uid="{C069387C-6D3A-49C1-92D8-31B144A862C3}">
      <text>
        <r>
          <rPr>
            <sz val="12"/>
            <color indexed="81"/>
            <rFont val="Tahoma"/>
            <family val="2"/>
          </rPr>
          <t>Information and rates on the Ontario deposit return program can be found on the www.ontario.ca website or on the Contact Info worksheet
https://www.ontario.ca/laws/regulation/210745#BK18</t>
        </r>
      </text>
    </comment>
    <comment ref="C23" authorId="0" shapeId="0" xr:uid="{519FB26C-FD24-4418-953B-2998661C11F1}">
      <text>
        <r>
          <rPr>
            <b/>
            <sz val="9"/>
            <color indexed="81"/>
            <rFont val="Tahoma"/>
            <family val="2"/>
          </rPr>
          <t>Beer is duty free.  In most cases zero should be entered.  There is duty on malt based coolers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9D8797DB-56F0-47A5-AC35-065CA34E5911}">
      <text>
        <r>
          <rPr>
            <sz val="9"/>
            <color indexed="81"/>
            <rFont val="Tahoma"/>
            <family val="2"/>
          </rPr>
          <t>Enter your desired retail price to produce the required Case Quote Amount</t>
        </r>
      </text>
    </comment>
    <comment ref="C5" authorId="0" shapeId="0" xr:uid="{4C63F112-3E4E-4BB7-B73E-9F8C41EC6704}">
      <text>
        <r>
          <rPr>
            <sz val="9"/>
            <color indexed="81"/>
            <rFont val="Tahoma"/>
            <family val="2"/>
          </rPr>
          <t>Select 'R' for regular brewery or 'M' for micro brewery (under 50,000 HL annual production).</t>
        </r>
      </text>
    </comment>
    <comment ref="C6" authorId="0" shapeId="0" xr:uid="{C5BADD1A-93B6-41E7-9E55-F4FB81BC8312}">
      <text>
        <r>
          <rPr>
            <b/>
            <sz val="9"/>
            <color indexed="81"/>
            <rFont val="Tahoma"/>
            <family val="2"/>
          </rPr>
          <t>LCBO:</t>
        </r>
        <r>
          <rPr>
            <sz val="9"/>
            <color indexed="81"/>
            <rFont val="Tahoma"/>
            <family val="2"/>
          </rPr>
          <t xml:space="preserve">
Select 'S' for direct delivery or TBS delivery; Select 'W' for beer delivered via LCBO warehouse.</t>
        </r>
      </text>
    </comment>
    <comment ref="C7" authorId="0" shapeId="0" xr:uid="{4A782D04-F387-4316-B82C-6799ECEEAD4B}">
      <text>
        <r>
          <rPr>
            <sz val="9"/>
            <color indexed="81"/>
            <rFont val="Tahoma"/>
            <family val="2"/>
          </rPr>
          <t>Select 'Y' for bottles that will be re-filled; select 'N' for cans and other non-refillable containers.</t>
        </r>
      </text>
    </comment>
    <comment ref="B9" authorId="1" shapeId="0" xr:uid="{3A8B3E4A-8B85-431B-A85D-E7F98CA6D926}">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4C04AC96-90F6-4C46-8D8E-35FCD0436AC2}">
      <text>
        <r>
          <rPr>
            <b/>
            <sz val="9"/>
            <color indexed="81"/>
            <rFont val="Tahoma"/>
            <family val="2"/>
          </rPr>
          <t>Enter the size in litres of the selling unit - e.g. 0.750 or 1.500</t>
        </r>
      </text>
    </comment>
    <comment ref="B11" authorId="1" shapeId="0" xr:uid="{1327D02C-406E-4D71-8B0B-086A0EAD7B91}">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4202531F-B6EE-47DB-98F0-5F4638E7DF02}">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BEB25FE0-F156-40FC-A6F4-8E1536E74D8C}">
      <text>
        <r>
          <rPr>
            <b/>
            <sz val="9"/>
            <color indexed="81"/>
            <rFont val="Tahoma"/>
            <family val="2"/>
          </rPr>
          <t>Enter the percentage of alcohol to be used in calculating LAA for excise</t>
        </r>
        <r>
          <rPr>
            <sz val="9"/>
            <color indexed="81"/>
            <rFont val="Tahoma"/>
            <family val="2"/>
          </rPr>
          <t xml:space="preserve">
</t>
        </r>
      </text>
    </comment>
    <comment ref="C14" authorId="0" shapeId="0" xr:uid="{BAEFD31B-CA98-4E03-B1E0-9284835F789F}">
      <text>
        <r>
          <rPr>
            <sz val="9"/>
            <color indexed="81"/>
            <rFont val="Tahoma"/>
            <family val="2"/>
          </rPr>
          <t>This field is calculated.   It is the supplier quote based on the desired home consumer price entered.  Use this to complete NISS applications and for invoicing for direct delivery</t>
        </r>
      </text>
    </comment>
    <comment ref="C16" authorId="0" shapeId="0" xr:uid="{FDFF40DE-A0C2-4E51-B605-F808E940D554}">
      <text>
        <r>
          <rPr>
            <b/>
            <sz val="9"/>
            <color indexed="81"/>
            <rFont val="Tahoma"/>
            <family val="2"/>
          </rPr>
          <t>This rate is applied to all beer</t>
        </r>
      </text>
    </comment>
    <comment ref="C17" authorId="0" shapeId="0" xr:uid="{1B7663DB-E83F-4A9C-9064-C57A0B649743}">
      <text>
        <r>
          <rPr>
            <b/>
            <sz val="9"/>
            <color indexed="81"/>
            <rFont val="Tahoma"/>
            <family val="2"/>
          </rPr>
          <t>This rate is applied to beer distributed through the LCBO warehouse system</t>
        </r>
      </text>
    </comment>
    <comment ref="C18" authorId="0" shapeId="0" xr:uid="{432C8E8D-BC36-4E6A-BBAD-34BCA8A80337}">
      <text>
        <r>
          <rPr>
            <b/>
            <sz val="9"/>
            <color indexed="81"/>
            <rFont val="Tahoma"/>
            <family val="2"/>
          </rPr>
          <t>The rate applied is based on the brewery type selected</t>
        </r>
      </text>
    </comment>
    <comment ref="H18" authorId="0" shapeId="0" xr:uid="{AF389D77-F177-4D2E-ACA6-74A4FD5799D9}">
      <text>
        <r>
          <rPr>
            <sz val="9"/>
            <color indexed="81"/>
            <rFont val="Tahoma"/>
            <family val="2"/>
          </rPr>
          <t>This field is calculated.   It is the supplier quote based on the desired home consumer price entered.  Use this to complete NISS applications and for invoicing for direct delivery</t>
        </r>
      </text>
    </comment>
    <comment ref="C19" authorId="0" shapeId="0" xr:uid="{016499FB-D9BD-4AA8-AA4B-243D822CD900}">
      <text>
        <r>
          <rPr>
            <b/>
            <sz val="9"/>
            <color indexed="81"/>
            <rFont val="Tahoma"/>
            <family val="2"/>
          </rPr>
          <t>The rate applied is the standard for all beer</t>
        </r>
      </text>
    </comment>
    <comment ref="C20" authorId="0" shapeId="0" xr:uid="{06990F56-8F10-4DEC-96C9-9BB1C3D8A080}">
      <text>
        <r>
          <rPr>
            <b/>
            <sz val="9"/>
            <color indexed="81"/>
            <rFont val="Tahoma"/>
            <family val="2"/>
          </rPr>
          <t>The rate applied is the standard for all non-refillable packages</t>
        </r>
      </text>
    </comment>
    <comment ref="B21" authorId="2" shapeId="0" xr:uid="{194814E1-7D77-4260-BAF3-F972B4876015}">
      <text>
        <r>
          <rPr>
            <sz val="12"/>
            <color indexed="81"/>
            <rFont val="Tahoma"/>
            <family val="2"/>
          </rPr>
          <t>Information and rates on the Ontario deposit return program can be found on the www.ontario.ca website or on the Contact Info worksheet
https://www.ontario.ca/laws/regulation/210745#BK18</t>
        </r>
      </text>
    </comment>
    <comment ref="C23" authorId="2" shapeId="0" xr:uid="{F22F2311-60D8-4E5C-875E-BD02B915A2CB}">
      <text>
        <r>
          <rPr>
            <sz val="9"/>
            <color indexed="81"/>
            <rFont val="Tahoma"/>
            <family val="2"/>
          </rPr>
          <t xml:space="preserve">
This field is calculated and includes the excise rate applied to beer for information only.  For Ontario beer, excise is not included in the pricing.  Breweries pay excise directly.</t>
        </r>
      </text>
    </comment>
    <comment ref="H23" authorId="2" shapeId="0" xr:uid="{8F45B5F9-EE1B-40A9-AE18-FF2B1ECD6965}">
      <text>
        <r>
          <rPr>
            <b/>
            <sz val="9"/>
            <color indexed="81"/>
            <rFont val="Tahoma"/>
            <family val="2"/>
          </rPr>
          <t xml:space="preserve">This section will allows you to maximize the quote to achieve the desired retail price.  </t>
        </r>
      </text>
    </comment>
    <comment ref="C24" authorId="0" shapeId="0" xr:uid="{DBBA862A-BCF4-4DDE-900F-3AAF535235EE}">
      <text>
        <r>
          <rPr>
            <b/>
            <sz val="9"/>
            <color indexed="81"/>
            <rFont val="Tahoma"/>
            <family val="2"/>
          </rPr>
          <t>Beer is duty free.  In most cases zero should be entered.  There is duty on malt based coolers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65F7D28F-31EC-4EB4-A6E9-832B3A8858E7}">
      <text>
        <r>
          <rPr>
            <b/>
            <sz val="9"/>
            <color indexed="81"/>
            <rFont val="Tahoma"/>
            <family val="2"/>
          </rPr>
          <t>Select the brewery type based on the annual production per annum.  See chart within price calculator tab for production threshold</t>
        </r>
      </text>
    </comment>
    <comment ref="C5" authorId="0" shapeId="0" xr:uid="{A54CEDA0-E66D-497A-AA91-41317324DD3C}">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0" shapeId="0" xr:uid="{BAC588D5-F787-4283-9698-7EA3B850982B}">
      <text>
        <r>
          <rPr>
            <sz val="9"/>
            <color indexed="81"/>
            <rFont val="Tahoma"/>
            <family val="2"/>
          </rPr>
          <t>Select Y if you will be submitting a certificate of origin (e.g. CETA, CUSMA, CPTPP), N if not - this will impact duty applied</t>
        </r>
      </text>
    </comment>
    <comment ref="B7" authorId="0" shapeId="0" xr:uid="{3233CC7E-93D5-406C-A1CD-A143C3CDABAB}">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8" authorId="0" shapeId="0" xr:uid="{B572DB20-B06E-45F9-A1DD-321AF7271BC5}">
      <text>
        <r>
          <rPr>
            <sz val="9"/>
            <color indexed="81"/>
            <rFont val="Tahoma"/>
            <family val="2"/>
          </rPr>
          <t xml:space="preserve">Enter Supplier Case Quote in Vendor Currency
</t>
        </r>
      </text>
    </comment>
    <comment ref="B9" authorId="1" shapeId="0" xr:uid="{5685D0BC-31BE-46A4-AE22-1F249B7613D9}">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0" authorId="1" shapeId="0" xr:uid="{6996E7F3-A334-41B5-B265-7B88536FAD71}">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1" shapeId="0" xr:uid="{C0785C2E-94B2-4FB2-B9FF-899623B3AB39}">
      <text>
        <r>
          <rPr>
            <b/>
            <sz val="9"/>
            <color indexed="81"/>
            <rFont val="Tahoma"/>
            <family val="2"/>
          </rPr>
          <t>Enter the size in litres of the selling unit - e.g. 0.750 or 1.500</t>
        </r>
      </text>
    </comment>
    <comment ref="B12" authorId="1" shapeId="0" xr:uid="{DD1D39D0-3F6F-48B6-A828-F64A28CF4CA3}">
      <text>
        <r>
          <rPr>
            <b/>
            <sz val="9"/>
            <color indexed="81"/>
            <rFont val="Tahoma"/>
            <family val="2"/>
          </rPr>
          <t>Enter the number of selling units in a shipping case - e.g. 12 or 6 bottles per case</t>
        </r>
        <r>
          <rPr>
            <sz val="9"/>
            <color indexed="81"/>
            <rFont val="Tahoma"/>
            <family val="2"/>
          </rPr>
          <t xml:space="preserve">
</t>
        </r>
      </text>
    </comment>
    <comment ref="B13" authorId="1" shapeId="0" xr:uid="{EDB2ED10-25A2-45B2-9F36-B4E416C7C5DD}">
      <text>
        <r>
          <rPr>
            <b/>
            <sz val="9"/>
            <color indexed="81"/>
            <rFont val="Tahoma"/>
            <family val="2"/>
          </rPr>
          <t xml:space="preserve">Enter the number of individual bottles in a selling unit </t>
        </r>
        <r>
          <rPr>
            <sz val="9"/>
            <color indexed="81"/>
            <rFont val="Tahoma"/>
            <family val="2"/>
          </rPr>
          <t xml:space="preserve">
</t>
        </r>
      </text>
    </comment>
    <comment ref="B14" authorId="1" shapeId="0" xr:uid="{25BADD6E-CDC1-47F3-9F25-F0F08377EBDA}">
      <text>
        <r>
          <rPr>
            <b/>
            <sz val="9"/>
            <color indexed="81"/>
            <rFont val="Tahoma"/>
            <family val="2"/>
          </rPr>
          <t>Enter the percentage of alcohol to be used in calculating LAA for excise</t>
        </r>
        <r>
          <rPr>
            <sz val="9"/>
            <color indexed="81"/>
            <rFont val="Tahoma"/>
            <family val="2"/>
          </rPr>
          <t xml:space="preserve">
</t>
        </r>
      </text>
    </comment>
    <comment ref="B17" authorId="0" shapeId="0" xr:uid="{52DD9035-45B1-4A32-A7E3-2F67D6B49016}">
      <text>
        <r>
          <rPr>
            <sz val="11"/>
            <color indexed="81"/>
            <rFont val="Tahoma"/>
            <family val="2"/>
          </rPr>
          <t xml:space="preserve"> Excise rate for wine is based on product type and alcohol percentage. 
Refer to Canada Revenue Agency website for the most current rates in effect </t>
        </r>
        <r>
          <rPr>
            <b/>
            <sz val="11"/>
            <color indexed="81"/>
            <rFont val="Tahoma"/>
            <family val="2"/>
          </rPr>
          <t>for link, see Contact Info worksheet</t>
        </r>
        <r>
          <rPr>
            <sz val="11"/>
            <color indexed="81"/>
            <rFont val="Tahoma"/>
            <family val="2"/>
          </rPr>
          <t xml:space="preserve"> 
https://www.canada.ca/en/revenue-agency/services/forms-publications/publications/edrates/excise-duty-rates.html</t>
        </r>
      </text>
    </comment>
    <comment ref="B18" authorId="0" shapeId="0" xr:uid="{5F66ACF4-9AE6-43CC-8665-8C7011CA6E98}">
      <text>
        <r>
          <rPr>
            <sz val="9"/>
            <color indexed="81"/>
            <rFont val="Tahoma"/>
            <family val="2"/>
          </rPr>
          <t>This is a calculated field. Duty rate for wine is based on product/certificate of origin, product type and alcohol percentage. Please refer to Reference tab for applicable rates</t>
        </r>
      </text>
    </comment>
    <comment ref="B19" authorId="0" shapeId="0" xr:uid="{C28EE5CE-4BBD-4E20-B75B-3816B10B7362}">
      <text>
        <r>
          <rPr>
            <b/>
            <sz val="9"/>
            <color indexed="81"/>
            <rFont val="Tahoma"/>
            <family val="2"/>
          </rPr>
          <t>This rate is applied to all beer</t>
        </r>
      </text>
    </comment>
    <comment ref="B20" authorId="0" shapeId="0" xr:uid="{F1A106C7-9D61-48D6-9DD4-CF274307B0AC}">
      <text>
        <r>
          <rPr>
            <b/>
            <sz val="9"/>
            <color indexed="81"/>
            <rFont val="Tahoma"/>
            <family val="2"/>
          </rPr>
          <t>This rate is applied to beer distributed through the LCBO warehouse system</t>
        </r>
        <r>
          <rPr>
            <sz val="9"/>
            <color indexed="81"/>
            <rFont val="Tahoma"/>
            <family val="2"/>
          </rPr>
          <t xml:space="preserve">
</t>
        </r>
      </text>
    </comment>
    <comment ref="B21" authorId="0" shapeId="0" xr:uid="{1DE13206-DC05-4ED7-9A97-9E5EEFBC6382}">
      <text>
        <r>
          <rPr>
            <b/>
            <sz val="9"/>
            <color indexed="81"/>
            <rFont val="Tahoma"/>
            <family val="2"/>
          </rPr>
          <t>The rate applied is based on the brewery type selected</t>
        </r>
        <r>
          <rPr>
            <sz val="9"/>
            <color indexed="81"/>
            <rFont val="Tahoma"/>
            <family val="2"/>
          </rPr>
          <t xml:space="preserve">
</t>
        </r>
      </text>
    </comment>
    <comment ref="B22" authorId="0" shapeId="0" xr:uid="{4876D602-1B00-4745-AD2F-C9C68A983644}">
      <text>
        <r>
          <rPr>
            <b/>
            <sz val="9"/>
            <color indexed="81"/>
            <rFont val="Tahoma"/>
            <family val="2"/>
          </rPr>
          <t>The rate applied is the standard for all beer</t>
        </r>
        <r>
          <rPr>
            <sz val="9"/>
            <color indexed="81"/>
            <rFont val="Tahoma"/>
            <family val="2"/>
          </rPr>
          <t xml:space="preserve">
</t>
        </r>
      </text>
    </comment>
    <comment ref="B23" authorId="0" shapeId="0" xr:uid="{7780077D-E56F-43FC-B089-FF25B1B22390}">
      <text>
        <r>
          <rPr>
            <b/>
            <sz val="9"/>
            <color indexed="81"/>
            <rFont val="Tahoma"/>
            <family val="2"/>
          </rPr>
          <t>The rate applied is the standard for all non-refillable packages</t>
        </r>
        <r>
          <rPr>
            <sz val="9"/>
            <color indexed="81"/>
            <rFont val="Tahoma"/>
            <family val="2"/>
          </rPr>
          <t xml:space="preserve">
</t>
        </r>
      </text>
    </comment>
    <comment ref="B25" authorId="2" shapeId="0" xr:uid="{A3D7AAA2-1E68-4705-A709-1CD5337AA08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DBAD349E-E802-4C35-B8FC-A644F9AB8EEB}">
      <text>
        <r>
          <rPr>
            <sz val="9"/>
            <color indexed="81"/>
            <rFont val="Tahoma"/>
            <family val="2"/>
          </rPr>
          <t>Select from the drop down box: Table Wine, Light Wine, Fortified, Fortified &gt;=20.1%, Flavoured, Sake or Sparkling</t>
        </r>
      </text>
    </comment>
    <comment ref="B5" authorId="0" shapeId="0" xr:uid="{95A3C289-3889-4060-B5F8-66F9705E3983}">
      <text>
        <r>
          <rPr>
            <sz val="9"/>
            <color indexed="81"/>
            <rFont val="Tahoma"/>
            <family val="2"/>
          </rPr>
          <t>Select Y if you will be submitting a certificate of origin (e.g. CETA, CUSMA, CPTPP), N if not - this will impact duty applied</t>
        </r>
      </text>
    </comment>
    <comment ref="B6" authorId="0" shapeId="0" xr:uid="{105B4113-C16A-47DB-94A9-BD80D3B275BA}">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A9A44C15-45E6-4489-AEEE-F92149EAF925}">
      <text>
        <r>
          <rPr>
            <sz val="9"/>
            <color indexed="81"/>
            <rFont val="Tahoma"/>
            <family val="2"/>
          </rPr>
          <t xml:space="preserve">Enter Supplier Case Quote in Vendor Currency
</t>
        </r>
      </text>
    </comment>
    <comment ref="B10" authorId="1" shapeId="0" xr:uid="{7F36B11F-210C-4222-BFF9-8530E04185EC}">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1" shapeId="0" xr:uid="{C8BD3BD2-D7F0-44D1-989B-CED20A361BB6}">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1" shapeId="0" xr:uid="{34613BE1-ECEF-46ED-BA68-A074FE7739C5}">
      <text>
        <r>
          <rPr>
            <b/>
            <sz val="9"/>
            <color indexed="81"/>
            <rFont val="Tahoma"/>
            <family val="2"/>
          </rPr>
          <t>Enter the size in litres of the selling unit - e.g. 0.750 or 1.500</t>
        </r>
      </text>
    </comment>
    <comment ref="B13" authorId="1" shapeId="0" xr:uid="{B2F7FC22-197C-443F-966D-F316A5B3B947}">
      <text>
        <r>
          <rPr>
            <b/>
            <sz val="9"/>
            <color indexed="81"/>
            <rFont val="Tahoma"/>
            <family val="2"/>
          </rPr>
          <t>Enter the number of selling units in a shipping case - e.g. 12 or 6 bottles per case</t>
        </r>
        <r>
          <rPr>
            <sz val="9"/>
            <color indexed="81"/>
            <rFont val="Tahoma"/>
            <family val="2"/>
          </rPr>
          <t xml:space="preserve">
</t>
        </r>
      </text>
    </comment>
    <comment ref="B14" authorId="1" shapeId="0" xr:uid="{C4B35DB0-208A-4CE1-9ECE-86923DE4E163}">
      <text>
        <r>
          <rPr>
            <b/>
            <sz val="9"/>
            <color indexed="81"/>
            <rFont val="Tahoma"/>
            <family val="2"/>
          </rPr>
          <t xml:space="preserve">Enter the number of individual bottles in a selling unit </t>
        </r>
        <r>
          <rPr>
            <sz val="9"/>
            <color indexed="81"/>
            <rFont val="Tahoma"/>
            <family val="2"/>
          </rPr>
          <t xml:space="preserve">
</t>
        </r>
      </text>
    </comment>
    <comment ref="B15" authorId="1" shapeId="0" xr:uid="{433B14E1-4596-46E3-BDDB-8485820E1B26}">
      <text>
        <r>
          <rPr>
            <b/>
            <sz val="9"/>
            <color indexed="81"/>
            <rFont val="Tahoma"/>
            <family val="2"/>
          </rPr>
          <t>Enter the percentage of alcohol to be used in calculating LAA for excise</t>
        </r>
        <r>
          <rPr>
            <sz val="9"/>
            <color indexed="81"/>
            <rFont val="Tahoma"/>
            <family val="2"/>
          </rPr>
          <t xml:space="preserve">
</t>
        </r>
      </text>
    </comment>
    <comment ref="B18" authorId="0" shapeId="0" xr:uid="{B6435FD6-122B-43FD-84ED-975D32374D4F}">
      <text>
        <r>
          <rPr>
            <sz val="11"/>
            <color indexed="81"/>
            <rFont val="Tahoma"/>
            <family val="2"/>
          </rPr>
          <t xml:space="preserve"> Excise rate for imports is based on product type and alcohol percentage. 
 Excise for domestic brands is paid directly by the supplier to Canada Revenue Agency.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https://www.canada.ca/en/revenue-agency/services/forms-publications/publications/edrates/excise-duty-rates.html</t>
        </r>
      </text>
    </comment>
    <comment ref="B19" authorId="0" shapeId="0" xr:uid="{8CDD0F52-924E-42E3-8446-387EB4DA42E3}">
      <text>
        <r>
          <rPr>
            <sz val="11"/>
            <color indexed="81"/>
            <rFont val="Tahoma"/>
            <family val="2"/>
          </rPr>
          <t xml:space="preserve">The Duty rate for wine is based on product, certificate of origin, product type and alcohol percentage. </t>
        </r>
      </text>
    </comment>
    <comment ref="B26" authorId="2" shapeId="0" xr:uid="{8D8D14C4-6BEE-402B-970F-2D30E7698E0D}">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549780C5-B381-4FF0-B972-5BA2304B8E12}">
      <text>
        <r>
          <rPr>
            <sz val="9"/>
            <color indexed="81"/>
            <rFont val="Tahoma"/>
            <family val="2"/>
          </rPr>
          <t>Select from the drop down box: Table Wine, Light Wine, Fortified, Fortified &gt;=20.1%, Flavoured, Sake or Sparkling</t>
        </r>
      </text>
    </comment>
    <comment ref="B5" authorId="0" shapeId="0" xr:uid="{AFA90447-7CD6-4D31-8E9C-8EF6303ACC13}">
      <text>
        <r>
          <rPr>
            <sz val="9"/>
            <color indexed="81"/>
            <rFont val="Tahoma"/>
            <family val="2"/>
          </rPr>
          <t>Select Y if you will be submitting a certificate of origin (e.g. CETA, CUSMA, CPTPP), N if not - this will impact duty applied</t>
        </r>
      </text>
    </comment>
    <comment ref="B6" authorId="0" shapeId="0" xr:uid="{E0405252-EE7A-493C-9956-4F902084AD4C}">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C9C72B8B-1251-4BC3-AA6A-68C7AC4D2714}">
      <text>
        <r>
          <rPr>
            <sz val="9"/>
            <color indexed="81"/>
            <rFont val="Tahoma"/>
            <family val="2"/>
          </rPr>
          <t xml:space="preserve">Enter Supplier Case Quote in Vendor Currency
</t>
        </r>
      </text>
    </comment>
    <comment ref="B10" authorId="1" shapeId="0" xr:uid="{6FA60786-90E1-4005-8FBC-5149AC914A80}">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1" shapeId="0" xr:uid="{F5536BE0-4A5D-4B7D-A724-84E17C7D1960}">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1" shapeId="0" xr:uid="{7E772D68-9F5C-4537-87F6-5C8B2BC1D873}">
      <text>
        <r>
          <rPr>
            <b/>
            <sz val="9"/>
            <color indexed="81"/>
            <rFont val="Tahoma"/>
            <family val="2"/>
          </rPr>
          <t>Enter the size in litres of the selling unit - e.g. 0.750 or 1.500</t>
        </r>
      </text>
    </comment>
    <comment ref="B13" authorId="1" shapeId="0" xr:uid="{5B3198A2-15B8-434B-87DB-DA06936784BB}">
      <text>
        <r>
          <rPr>
            <b/>
            <sz val="9"/>
            <color indexed="81"/>
            <rFont val="Tahoma"/>
            <family val="2"/>
          </rPr>
          <t>Enter the number of selling units in a shipping case - e.g. 12 or 6 bottles per case</t>
        </r>
        <r>
          <rPr>
            <sz val="9"/>
            <color indexed="81"/>
            <rFont val="Tahoma"/>
            <family val="2"/>
          </rPr>
          <t xml:space="preserve">
</t>
        </r>
      </text>
    </comment>
    <comment ref="B14" authorId="1" shapeId="0" xr:uid="{8BB62C58-DF13-4B2D-8605-48B36F76DCB0}">
      <text>
        <r>
          <rPr>
            <b/>
            <sz val="9"/>
            <color indexed="81"/>
            <rFont val="Tahoma"/>
            <family val="2"/>
          </rPr>
          <t xml:space="preserve">Enter the number of individual bottles in a selling unit </t>
        </r>
        <r>
          <rPr>
            <sz val="9"/>
            <color indexed="81"/>
            <rFont val="Tahoma"/>
            <family val="2"/>
          </rPr>
          <t xml:space="preserve">
</t>
        </r>
      </text>
    </comment>
    <comment ref="B15" authorId="1" shapeId="0" xr:uid="{4EDB2D0C-1C77-455E-9F10-53A4C6D22C37}">
      <text>
        <r>
          <rPr>
            <b/>
            <sz val="9"/>
            <color indexed="81"/>
            <rFont val="Tahoma"/>
            <family val="2"/>
          </rPr>
          <t>Enter the percentage of alcohol to be used in calculating LAA for excise</t>
        </r>
        <r>
          <rPr>
            <sz val="9"/>
            <color indexed="81"/>
            <rFont val="Tahoma"/>
            <family val="2"/>
          </rPr>
          <t xml:space="preserve">
</t>
        </r>
      </text>
    </comment>
    <comment ref="B18" authorId="0" shapeId="0" xr:uid="{FA5EB807-E773-4336-A8FA-F952553FE6C9}">
      <text>
        <r>
          <rPr>
            <sz val="11"/>
            <color indexed="81"/>
            <rFont val="Tahoma"/>
            <family val="2"/>
          </rPr>
          <t xml:space="preserve"> Excise rate for is based on product type and alcohol percentage. 
Domestic Direct Delivery products are excise paid therefore the supplier remits excise directly to Canada revenue agency. Excise will be 0 for Direct Delivery.
Refer to Canada Revenue Agency website for the most current </t>
        </r>
        <r>
          <rPr>
            <b/>
            <u/>
            <sz val="11"/>
            <color indexed="81"/>
            <rFont val="Tahoma"/>
            <family val="2"/>
          </rPr>
          <t>Excise duty on spirits rates.  The link is available on the Contact Info worksheet.</t>
        </r>
        <r>
          <rPr>
            <sz val="11"/>
            <color indexed="81"/>
            <rFont val="Tahoma"/>
            <family val="2"/>
          </rPr>
          <t xml:space="preserve">
https://www.canada.ca/en/revenue-agency/services/forms-publications/publications/edrates/excise-duty-rates.html</t>
        </r>
      </text>
    </comment>
    <comment ref="B19" authorId="1" shapeId="0" xr:uid="{F16D4D62-36C5-4A15-90F8-B6758A8368B9}">
      <text>
        <r>
          <rPr>
            <sz val="9"/>
            <color indexed="81"/>
            <rFont val="Tahoma"/>
            <family val="2"/>
          </rPr>
          <t xml:space="preserve">Duty rate is based on certificate of origin applied and product type. </t>
        </r>
      </text>
    </comment>
    <comment ref="B25" authorId="2" shapeId="0" xr:uid="{40E01C59-BE29-4EFA-ADD6-8A6BEEDF3609}">
      <text>
        <r>
          <rPr>
            <sz val="12"/>
            <color indexed="81"/>
            <rFont val="Tahoma"/>
            <family val="2"/>
          </rPr>
          <t>Information and rates on the Ontario deposit return program can be found on the www.ontario.ca website or here 
https://www.ontario.ca/laws/regulation/210745#BK18</t>
        </r>
      </text>
    </comment>
  </commentList>
</comments>
</file>

<file path=xl/sharedStrings.xml><?xml version="1.0" encoding="utf-8"?>
<sst xmlns="http://schemas.openxmlformats.org/spreadsheetml/2006/main" count="2332" uniqueCount="508">
  <si>
    <t>Enter Variables in ALL BLUE boxes only:</t>
  </si>
  <si>
    <t>Type of Wine</t>
  </si>
  <si>
    <t>Wine</t>
  </si>
  <si>
    <t>Excise Rate</t>
  </si>
  <si>
    <t>Validate if final retail price Minimum Retail Price - MRP Index Factor</t>
  </si>
  <si>
    <t>Trade Deal</t>
  </si>
  <si>
    <t>Y</t>
  </si>
  <si>
    <t>Duty Rate</t>
  </si>
  <si>
    <t>LCBOPricingHelpfulToolsandLinks | Doing Business with LCBO</t>
  </si>
  <si>
    <t>COSD Region</t>
  </si>
  <si>
    <t>CPTPP</t>
  </si>
  <si>
    <t>COSD Rate</t>
  </si>
  <si>
    <t>Case Quote</t>
  </si>
  <si>
    <t>Wine Levy ($/L)</t>
  </si>
  <si>
    <t>Exchange Rate</t>
  </si>
  <si>
    <t>Volume Levy ($/L)</t>
  </si>
  <si>
    <t>Freight Rate</t>
  </si>
  <si>
    <t>Mark-Up</t>
  </si>
  <si>
    <t>Selling Unit Size (litres)</t>
  </si>
  <si>
    <t>Environmental Fee</t>
  </si>
  <si>
    <t>Units per Case</t>
  </si>
  <si>
    <t>HST</t>
  </si>
  <si>
    <t>Containers/Selling Unit</t>
  </si>
  <si>
    <t>Container Deposit Rate</t>
  </si>
  <si>
    <t>Alcohol Percentage</t>
  </si>
  <si>
    <t>Litres of absolute alcohol</t>
  </si>
  <si>
    <t>FINAL RETAIL</t>
  </si>
  <si>
    <t>PRICING BREAK DOWN:</t>
  </si>
  <si>
    <t>Supplier Quote (CDN)</t>
  </si>
  <si>
    <t>Duty</t>
  </si>
  <si>
    <t>Excise</t>
  </si>
  <si>
    <t>Landed Cost</t>
  </si>
  <si>
    <t>Mark up</t>
  </si>
  <si>
    <t>Wine Levy</t>
  </si>
  <si>
    <t>Sub-Total (case)</t>
  </si>
  <si>
    <t>Sub-Total (selling unit)</t>
  </si>
  <si>
    <t>Volume Levy</t>
  </si>
  <si>
    <t>COSD Amount</t>
  </si>
  <si>
    <t>Basic Price (not rounded)</t>
  </si>
  <si>
    <t>Retail (not rounded)</t>
  </si>
  <si>
    <t>LICENCEE PRICING:</t>
  </si>
  <si>
    <t>ROUNDED RETAIL</t>
  </si>
  <si>
    <t>Container Deposit</t>
  </si>
  <si>
    <t>FINAL RETAIL PRICE</t>
  </si>
  <si>
    <t>Actual Mark Up %</t>
  </si>
  <si>
    <t>Margin $</t>
  </si>
  <si>
    <t>Margin %</t>
  </si>
  <si>
    <t>Check for Markup</t>
  </si>
  <si>
    <t>Basic</t>
  </si>
  <si>
    <t>Retail</t>
  </si>
  <si>
    <t>Type of Spirit</t>
  </si>
  <si>
    <t>Rum</t>
  </si>
  <si>
    <t xml:space="preserve">Trade Deal </t>
  </si>
  <si>
    <t>Other</t>
  </si>
  <si>
    <t xml:space="preserve">Volume Levy </t>
  </si>
  <si>
    <t>PRICING BREAKDOWN:</t>
  </si>
  <si>
    <t>Case Quote (CDN)</t>
  </si>
  <si>
    <t>Markup</t>
  </si>
  <si>
    <t>Sub-Total case</t>
  </si>
  <si>
    <t>Still Cider</t>
  </si>
  <si>
    <t>N</t>
  </si>
  <si>
    <t>Brewery Type</t>
  </si>
  <si>
    <t>Micro</t>
  </si>
  <si>
    <t>In Store Cost of Service</t>
  </si>
  <si>
    <t>Container Type</t>
  </si>
  <si>
    <t>Bottle</t>
  </si>
  <si>
    <t>Out of Store Cost of Service</t>
  </si>
  <si>
    <t>Basic Fee</t>
  </si>
  <si>
    <t>Bottle Levy</t>
  </si>
  <si>
    <t>Excise rate per litre</t>
  </si>
  <si>
    <t>Duty Rate per litre</t>
  </si>
  <si>
    <t>Case Freight</t>
  </si>
  <si>
    <t>In Store COS</t>
  </si>
  <si>
    <t>Out of Store COS</t>
  </si>
  <si>
    <t>Retail Rounded</t>
  </si>
  <si>
    <t>Final Retail Price</t>
  </si>
  <si>
    <t>Desired Home Consumer Price</t>
  </si>
  <si>
    <t>Regular</t>
  </si>
  <si>
    <t>Delivery Type</t>
  </si>
  <si>
    <t>LCBO Warehouse</t>
  </si>
  <si>
    <t>Refillable</t>
  </si>
  <si>
    <t>Yes</t>
  </si>
  <si>
    <t xml:space="preserve">Can </t>
  </si>
  <si>
    <t>Out Store COS</t>
  </si>
  <si>
    <t>Mark Up</t>
  </si>
  <si>
    <t>Excise Rate per Litre</t>
  </si>
  <si>
    <t>Rounded Retail</t>
  </si>
  <si>
    <t>CASE QUOTE</t>
  </si>
  <si>
    <t>EU/CETA</t>
  </si>
  <si>
    <t>Liquid Cost</t>
  </si>
  <si>
    <t>Packaging Cost</t>
  </si>
  <si>
    <t>Packaging</t>
  </si>
  <si>
    <t>Liquid</t>
  </si>
  <si>
    <t>Packaging Quote (CDN)</t>
  </si>
  <si>
    <t>Liquid Quote (CDN)</t>
  </si>
  <si>
    <t>COSD RATE</t>
  </si>
  <si>
    <t>MarkUp</t>
  </si>
  <si>
    <t>Type of Product</t>
  </si>
  <si>
    <t>Domestic</t>
  </si>
  <si>
    <t>MARKUP</t>
  </si>
  <si>
    <t>VOLUME LEVY</t>
  </si>
  <si>
    <t>ENVIRO FEE ($/Btl)</t>
  </si>
  <si>
    <t>IN STORE COST OF SERVICE</t>
  </si>
  <si>
    <t>OUT OF STORE COST OF SERVICE</t>
  </si>
  <si>
    <t>BASIC FEE USED</t>
  </si>
  <si>
    <t>VOLUME LEVY (per litre)</t>
  </si>
  <si>
    <t>ENVIRONMENTAL FEE</t>
  </si>
  <si>
    <t>EXCISE RATE PER LITRE</t>
  </si>
  <si>
    <t>DUTY RATE PER LITRE</t>
  </si>
  <si>
    <t>Final Retail</t>
  </si>
  <si>
    <t>No</t>
  </si>
  <si>
    <t>Beer Cost of Services</t>
  </si>
  <si>
    <t>Rate</t>
  </si>
  <si>
    <t>Beer In-Store Cost of Service</t>
  </si>
  <si>
    <t>Beer</t>
  </si>
  <si>
    <t>Beer Out-of-Store Cost of Service</t>
  </si>
  <si>
    <t>Less than 5.6%</t>
  </si>
  <si>
    <t>Beer Out-of-Store Cost of Service (Self-delivery)</t>
  </si>
  <si>
    <t>5.6% or more</t>
  </si>
  <si>
    <t>Bottle Tax</t>
  </si>
  <si>
    <t>Non-Refillable Charge</t>
  </si>
  <si>
    <t>Bottle - Can</t>
  </si>
  <si>
    <t>&lt; = 50,000 HL</t>
  </si>
  <si>
    <t>&gt; 50,000 HL</t>
  </si>
  <si>
    <t>Draft/Draught/Keg</t>
  </si>
  <si>
    <t>Excise Calculation</t>
  </si>
  <si>
    <t>Product</t>
  </si>
  <si>
    <t>Wine containing not more than 1.2% absolute ethyl alcohol by volume</t>
  </si>
  <si>
    <t>Wine containing more than 1.2% but not more than 7% absolute ethyl alcohol by volume</t>
  </si>
  <si>
    <t>Wine containing more than 7% absolute ethyl alcohol by volume</t>
  </si>
  <si>
    <t>Sparkling Cider</t>
  </si>
  <si>
    <t>Whisky, Tequila, Brandy</t>
  </si>
  <si>
    <t>Spirits</t>
  </si>
  <si>
    <t>Gin</t>
  </si>
  <si>
    <t>Spirits containing not more than 7% absolute ethyl alcohol by volume1</t>
  </si>
  <si>
    <t>Vodka, Liqueurs and Other</t>
  </si>
  <si>
    <t>Spirits containing more than 7% absolute ethyl alcohol by volume2</t>
  </si>
  <si>
    <t>Flavoured Duty Rate</t>
  </si>
  <si>
    <t>Product - beer packaged in Canada</t>
  </si>
  <si>
    <t>Beer containing not more than 1.2% absolute ethyl alcohol by volume</t>
  </si>
  <si>
    <t>Beer containing more than 1.2% but not more than 2.5% absolute ethyl alcohol by volume</t>
  </si>
  <si>
    <t>Beer containing more than 2.5% absolute ethyl alcohol by volume</t>
  </si>
  <si>
    <t>Product Type</t>
  </si>
  <si>
    <t>Fortified</t>
  </si>
  <si>
    <t>Fortified &gt;= 20.1%</t>
  </si>
  <si>
    <t>Sake</t>
  </si>
  <si>
    <t>Sparkling</t>
  </si>
  <si>
    <t>Coolers and Cider</t>
  </si>
  <si>
    <t>Glass, Tetra, Bag-in-Box, Tetra &lt;=100ml</t>
  </si>
  <si>
    <t>Glass, Tetra, Bag-in-Box, Tetra &lt; = 630ml</t>
  </si>
  <si>
    <t>Glass, Tetra, Bag-in-Box, Tetra &gt; 630ml</t>
  </si>
  <si>
    <t>Cans (Aluminum or Steel) &lt; = 1000ml</t>
  </si>
  <si>
    <t>Cans (Aluminum or Steel) &gt; 1000ml</t>
  </si>
  <si>
    <t>Kegs - TBS Customer Deposit</t>
  </si>
  <si>
    <t xml:space="preserve">Licensee </t>
  </si>
  <si>
    <t>Discount</t>
  </si>
  <si>
    <t>Delivery</t>
  </si>
  <si>
    <t xml:space="preserve">Refillable </t>
  </si>
  <si>
    <t>Direct Delivery/TBS</t>
  </si>
  <si>
    <t>Wine Duty</t>
  </si>
  <si>
    <t>7.1%-13.7%</t>
  </si>
  <si>
    <t>13.8%-14.9%</t>
  </si>
  <si>
    <t>&gt;14.9%</t>
  </si>
  <si>
    <t>Sake Duty</t>
  </si>
  <si>
    <t>&lt;=13.6</t>
  </si>
  <si>
    <t>13.7-14.8</t>
  </si>
  <si>
    <t>14.9-15.8</t>
  </si>
  <si>
    <t>15.9-16.8</t>
  </si>
  <si>
    <t>16.9-17.8</t>
  </si>
  <si>
    <t>17.9-18.8</t>
  </si>
  <si>
    <t>18.9-19.8</t>
  </si>
  <si>
    <t>19.9-20.8</t>
  </si>
  <si>
    <t>20.9-21.9</t>
  </si>
  <si>
    <t>21.8-22.9</t>
  </si>
  <si>
    <t>22.9 and up</t>
  </si>
  <si>
    <t>Spirit Duty</t>
  </si>
  <si>
    <t>Per Litre</t>
  </si>
  <si>
    <t>US</t>
  </si>
  <si>
    <t>Vodka, Liqueurs, and Other</t>
  </si>
  <si>
    <t>Low Alc/RTD, Spirit and Wine Coolers</t>
  </si>
  <si>
    <t>COSD</t>
  </si>
  <si>
    <t>PRODUCT TYPE</t>
  </si>
  <si>
    <t>TRADE DEAL</t>
  </si>
  <si>
    <t>REGION</t>
  </si>
  <si>
    <t>LOOKUP VALUE</t>
  </si>
  <si>
    <t>DUTY RATE</t>
  </si>
  <si>
    <t>CUSMA</t>
  </si>
  <si>
    <t>Still CiderDomestic</t>
  </si>
  <si>
    <t>Still CiderCUSMA</t>
  </si>
  <si>
    <t>Still CiderEU/CETA</t>
  </si>
  <si>
    <t>Still CiderCPTPP</t>
  </si>
  <si>
    <t>Still CiderOther</t>
  </si>
  <si>
    <t>Sparkling CiderDomestic</t>
  </si>
  <si>
    <t>Sparkling CiderCUSMA</t>
  </si>
  <si>
    <t>Sparkling CiderEU/CETA</t>
  </si>
  <si>
    <t>Sparkling CiderCPTPP</t>
  </si>
  <si>
    <t>Sparkling CiderOther</t>
  </si>
  <si>
    <t>Flavoured Beer</t>
  </si>
  <si>
    <t>Contact Information &amp; Helpful Links</t>
  </si>
  <si>
    <t>Pricing Inquiries</t>
  </si>
  <si>
    <t>pricing@lcbo.com</t>
  </si>
  <si>
    <t>Freight Rate Inquiry</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</si>
  <si>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</si>
  <si>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</si>
  <si>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</si>
  <si>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</si>
  <si>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</si>
  <si>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</si>
  <si>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</si>
  <si>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</si>
  <si>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New Item pricing and set up - please contact the appropriate category team for more details on this process</t>
  </si>
  <si>
    <t>SparklingNCUSMA</t>
  </si>
  <si>
    <t>SakeNCUSMA</t>
  </si>
  <si>
    <t>FortifiedNCUSMA</t>
  </si>
  <si>
    <t>Fortified &gt;= 20.1%NCUSMA</t>
  </si>
  <si>
    <t>SparklingNEU/CETA</t>
  </si>
  <si>
    <t>SakeNEU/CETA</t>
  </si>
  <si>
    <t>FortifiedNEU/CETA</t>
  </si>
  <si>
    <t>Fortified &gt;= 20.1%NEU/CETA</t>
  </si>
  <si>
    <t>SparklingNCPTPP</t>
  </si>
  <si>
    <t>SakeNCPTPP</t>
  </si>
  <si>
    <t>FortifiedNCPTPP</t>
  </si>
  <si>
    <t>Fortified &gt;= 20.1%NCPTPP</t>
  </si>
  <si>
    <t>SparklingNOther</t>
  </si>
  <si>
    <t>SakeNOther</t>
  </si>
  <si>
    <t>FortifiedNOther</t>
  </si>
  <si>
    <t>Fortified &gt;= 20.1%NOther</t>
  </si>
  <si>
    <t>SparklingNDomestic</t>
  </si>
  <si>
    <t>SakeNDomestic</t>
  </si>
  <si>
    <t>FortifiedNDomestic</t>
  </si>
  <si>
    <t>Fortified &gt;= 20.1%NDomestic</t>
  </si>
  <si>
    <t>SparklingYCUSMA</t>
  </si>
  <si>
    <t>SakeYCUSMA</t>
  </si>
  <si>
    <t>FortifiedYCUSMA</t>
  </si>
  <si>
    <t>Fortified &gt;= 20.1%YCUSMA</t>
  </si>
  <si>
    <t>SparklingYEU/CETA</t>
  </si>
  <si>
    <t>SakeYEU/CETA</t>
  </si>
  <si>
    <t>FortifiedYEU/CETA</t>
  </si>
  <si>
    <t>Fortified &gt;= 20.1%YEU/CETA</t>
  </si>
  <si>
    <t>SparklingYCPTPP</t>
  </si>
  <si>
    <t>SakeYCPTPP</t>
  </si>
  <si>
    <t>FortifiedYCPTPP</t>
  </si>
  <si>
    <t>Fortified &gt;= 20.1%YCPTPP</t>
  </si>
  <si>
    <t>SparklingYOther</t>
  </si>
  <si>
    <t>SakeYOther</t>
  </si>
  <si>
    <t>FortifiedYOther</t>
  </si>
  <si>
    <t>Fortified &gt;= 20.1%YOther</t>
  </si>
  <si>
    <t>SparklingYDomestic</t>
  </si>
  <si>
    <t>SakeYDomestic</t>
  </si>
  <si>
    <t>FortifiedYDomestic</t>
  </si>
  <si>
    <t>Fortified &gt;= 20.1%YDomestic</t>
  </si>
  <si>
    <t>Still CiderYDomestic</t>
  </si>
  <si>
    <t>Still CiderYCUSMA</t>
  </si>
  <si>
    <t>Still CiderYEU/CETA</t>
  </si>
  <si>
    <t>Still CiderYCPTPP</t>
  </si>
  <si>
    <t>Still CiderYOther</t>
  </si>
  <si>
    <t>Sparkling CiderYDomestic</t>
  </si>
  <si>
    <t>Sparkling CiderYCUSMA</t>
  </si>
  <si>
    <t>Sparkling CiderYEU/CETA</t>
  </si>
  <si>
    <t>Sparkling CiderYCPTPP</t>
  </si>
  <si>
    <t>Sparkling CiderYOther</t>
  </si>
  <si>
    <t>Still CiderNDomestic</t>
  </si>
  <si>
    <t>Still CiderNCUSMA</t>
  </si>
  <si>
    <t>Still CiderNEU/CETA</t>
  </si>
  <si>
    <t>Still CiderNCPTPP</t>
  </si>
  <si>
    <t>Still CiderNOther</t>
  </si>
  <si>
    <t>Sparkling CiderNDomestic</t>
  </si>
  <si>
    <t>Sparkling CiderNCUSMA</t>
  </si>
  <si>
    <t>Sparkling CiderNEU/CETA</t>
  </si>
  <si>
    <t>Sparkling CiderNCPTPP</t>
  </si>
  <si>
    <t>Sparkling CiderNOther</t>
  </si>
  <si>
    <t>Flavoured BeerNDomestic</t>
  </si>
  <si>
    <t>Flavoured BeerNCUSMA</t>
  </si>
  <si>
    <t>Flavoured BeerNEU/CETA</t>
  </si>
  <si>
    <t>Flavoured BeerNCPTPP</t>
  </si>
  <si>
    <t>Flavoured BeerNOther</t>
  </si>
  <si>
    <t>Flavoured BeerYDomestic</t>
  </si>
  <si>
    <t>Flavoured BeerYCUSMA</t>
  </si>
  <si>
    <t>Flavoured BeerYEU/CETA</t>
  </si>
  <si>
    <t>Flavoured BeerYCPTPP</t>
  </si>
  <si>
    <t>Flavoured BeerYOther</t>
  </si>
  <si>
    <t>Excise/Duty</t>
  </si>
  <si>
    <t>Quote Submission Forms</t>
  </si>
  <si>
    <t>GiftWine</t>
  </si>
  <si>
    <t>GiftWineNCUSMA</t>
  </si>
  <si>
    <t>GiftWineNEU/CETA</t>
  </si>
  <si>
    <t>GiftWineNCPTPP</t>
  </si>
  <si>
    <t>GiftWineNOther</t>
  </si>
  <si>
    <t>GiftWineNDomestic</t>
  </si>
  <si>
    <t>GiftWineYCUSMA</t>
  </si>
  <si>
    <t>GiftWineYEU/CETA</t>
  </si>
  <si>
    <t>GiftWineYCPTPP</t>
  </si>
  <si>
    <t>GiftWineYOther</t>
  </si>
  <si>
    <t>GiftWineYDomestic</t>
  </si>
  <si>
    <t>GiftSake</t>
  </si>
  <si>
    <t>GiftLight Wine</t>
  </si>
  <si>
    <t>GiftFortified</t>
  </si>
  <si>
    <t>GiftFortified &gt;= 20.1%</t>
  </si>
  <si>
    <t>GiftSparkling</t>
  </si>
  <si>
    <t>GiftFlavoured</t>
  </si>
  <si>
    <t>Comments/Notes</t>
  </si>
  <si>
    <t>Check Mark Up</t>
  </si>
  <si>
    <r>
      <rPr>
        <b/>
        <sz val="11"/>
        <rFont val="Calibri"/>
        <family val="2"/>
        <scheme val="minor"/>
      </rPr>
      <t xml:space="preserve">Actual Retail: </t>
    </r>
    <r>
      <rPr>
        <sz val="11"/>
        <rFont val="Calibri"/>
        <family val="2"/>
        <scheme val="minor"/>
      </rPr>
      <t xml:space="preserve">             Basic Price</t>
    </r>
  </si>
  <si>
    <t>Excise COSD Effective April 1 2021 | Doing Business with LCBO</t>
  </si>
  <si>
    <t>List of countries under regions of origin used for determining COSD rates</t>
  </si>
  <si>
    <r>
      <rPr>
        <b/>
        <sz val="11"/>
        <rFont val="Calibri"/>
        <family val="2"/>
        <scheme val="minor"/>
      </rPr>
      <t xml:space="preserve">Rounded Retail: </t>
    </r>
    <r>
      <rPr>
        <sz val="11"/>
        <rFont val="Calibri"/>
        <family val="2"/>
        <scheme val="minor"/>
      </rPr>
      <t xml:space="preserve">         Basic Price</t>
    </r>
  </si>
  <si>
    <t>Check UnRounded Retail</t>
  </si>
  <si>
    <t>CUFTA</t>
  </si>
  <si>
    <t>Ukraine</t>
  </si>
  <si>
    <t>SparklingNCUFTA</t>
  </si>
  <si>
    <t>SakeNCUFTA</t>
  </si>
  <si>
    <t>FortifiedNCUFTA</t>
  </si>
  <si>
    <t>Fortified &gt;= 20.1%NCUFTA</t>
  </si>
  <si>
    <t>Still CiderYCUFTA</t>
  </si>
  <si>
    <t>Sparkling CiderYCUFTA</t>
  </si>
  <si>
    <t>Still CiderNCUFTA</t>
  </si>
  <si>
    <t>Sparkling CiderNCUFTA</t>
  </si>
  <si>
    <t>Flavoured BeerNCUFTA</t>
  </si>
  <si>
    <t>Flavoured BeerYCUFTA</t>
  </si>
  <si>
    <t>GiftWineYCUFTA</t>
  </si>
  <si>
    <t>GiftWineNCUFTA</t>
  </si>
  <si>
    <t>SparklingYCUFTA</t>
  </si>
  <si>
    <t>SakeYCUFTA</t>
  </si>
  <si>
    <t>FortifiedYCUFTA</t>
  </si>
  <si>
    <t>Fortified &gt;= 20.1%YCUFTA</t>
  </si>
  <si>
    <t>https://www.canada.ca/en/revenue-agency/services/forms-publications/publications/edrates/excise-duty-rates.html</t>
  </si>
  <si>
    <t>Excise Rates</t>
  </si>
  <si>
    <t>Container Deposit Rates</t>
  </si>
  <si>
    <t>https://www.ontario.ca/laws/regulation/210745#BK18</t>
  </si>
  <si>
    <t>KEG Container Type</t>
  </si>
  <si>
    <t>Non-Refillable</t>
  </si>
  <si>
    <t>Inbound Freight Rate</t>
  </si>
  <si>
    <t>Return Freight Rate</t>
  </si>
  <si>
    <t>Return Freight</t>
  </si>
  <si>
    <t>For products listed at TBS, the supplier is required to set the licensee price for beer which can be higher or lower than the home consumer price, so long as it meets the minimum retail price</t>
  </si>
  <si>
    <t>Inbound Freight</t>
  </si>
  <si>
    <t>TBS Container Deposit</t>
  </si>
  <si>
    <t>TBS Purchase Price</t>
  </si>
  <si>
    <t>TBS FINAL RETAIL</t>
  </si>
  <si>
    <t>Final CONSUMER Retail Price</t>
  </si>
  <si>
    <t>KEG Country of Origin</t>
  </si>
  <si>
    <t>USA/Mexico</t>
  </si>
  <si>
    <t>Origin</t>
  </si>
  <si>
    <t>In Store COS (case)</t>
  </si>
  <si>
    <t>Out Store COSE (case)</t>
  </si>
  <si>
    <t>Levy</t>
  </si>
  <si>
    <t>Eviron</t>
  </si>
  <si>
    <t>Dep</t>
  </si>
  <si>
    <t>Basic Price Case</t>
  </si>
  <si>
    <t>Basic Price Bottle</t>
  </si>
  <si>
    <t>Maximize Quote</t>
  </si>
  <si>
    <t>Freight</t>
  </si>
  <si>
    <t>Rate Effective April 1, 2025</t>
  </si>
  <si>
    <t>Rate effective April 1, 2025</t>
  </si>
  <si>
    <t>https://www.canada.ca/en/revenue-agency/services/forms-publications/publications/edrates/excise-duty-rates.html#Excise_duty_on_wine</t>
  </si>
  <si>
    <t>Wine Coolers =&gt;7.2%</t>
  </si>
  <si>
    <t>This include wine coolers - flavoured wine</t>
  </si>
  <si>
    <t>Cider mark up is same for Kegs</t>
  </si>
  <si>
    <t>This is for =&lt;7.1% includes Wine, Sparkling and Crackling</t>
  </si>
  <si>
    <t>Markup Table as of August 1, 2025</t>
  </si>
  <si>
    <t>Beer Basic Fee as of August 1, 2025</t>
  </si>
  <si>
    <t>Spirit Cooler =&lt;7.1%</t>
  </si>
  <si>
    <t>Wine Coolers=&lt;7.1%</t>
  </si>
  <si>
    <t>Low Alc/ RTD =7.2%to17%</t>
  </si>
  <si>
    <t>TBD if this include wine coolers - flavoured wine</t>
  </si>
  <si>
    <t>TBD if this will also include WINE - Flavoured Wine</t>
  </si>
  <si>
    <t>Wine Cream Flavoured</t>
  </si>
  <si>
    <t>Wine =&lt;7.1%</t>
  </si>
  <si>
    <t>Wine =&gt;7.2%</t>
  </si>
  <si>
    <t>Wine =&gt;7.2%NCUSMA</t>
  </si>
  <si>
    <t>Wine =&lt;7.1%NCUSMA</t>
  </si>
  <si>
    <t>Wine Cream FlavouredNCUSMA</t>
  </si>
  <si>
    <t>Wine =&gt;7.2%NEU/CETA</t>
  </si>
  <si>
    <t>Wine =&lt;7.1%NEU/CETA</t>
  </si>
  <si>
    <t>Wine Cream FlavouredNEU/CETA</t>
  </si>
  <si>
    <t>Wine =&gt;7.2%NCPTPP</t>
  </si>
  <si>
    <t>Wine =&lt;7.1%NCPTPP</t>
  </si>
  <si>
    <t>Wine =&lt;7.1%NCUFTA</t>
  </si>
  <si>
    <t>Wine =&lt;7.1%NOther</t>
  </si>
  <si>
    <t>Wine =&lt;7.1%NDomestic</t>
  </si>
  <si>
    <t>Wine =&lt;7.1%YCUSMA</t>
  </si>
  <si>
    <t>Wine =&lt;7.1%YEU/CETA</t>
  </si>
  <si>
    <t>Wine =&lt;7.1%YCPTPP</t>
  </si>
  <si>
    <t>Wine =&lt;7.1%YOther</t>
  </si>
  <si>
    <t>Wine =&lt;7.1%YCUFTA</t>
  </si>
  <si>
    <t>Wine =&lt;7.1%YDomestic</t>
  </si>
  <si>
    <t>Wine Cream FlavouredNCPTPP</t>
  </si>
  <si>
    <t>Wine Cream FlavouredNCUFTA</t>
  </si>
  <si>
    <t>Wine Cream FlavouredNOther</t>
  </si>
  <si>
    <t>Wine Cream FlavouredNDomestic</t>
  </si>
  <si>
    <t>Wine Cream FlavouredYCUSMA</t>
  </si>
  <si>
    <t>Wine Cream FlavouredYEU/CETA</t>
  </si>
  <si>
    <t>Wine Cream FlavouredYCPTPP</t>
  </si>
  <si>
    <t>Wine Cream FlavouredYOther</t>
  </si>
  <si>
    <t>Wine Cream FlavouredYCUFTA</t>
  </si>
  <si>
    <t>Wine Cream FlavouredYDomestic</t>
  </si>
  <si>
    <t>Wine =&gt;7.2%NCUFTA</t>
  </si>
  <si>
    <t>Wine =&gt;7.2%NOther</t>
  </si>
  <si>
    <t>Wine =&gt;7.2%NDomestic</t>
  </si>
  <si>
    <t>Wine =&gt;7.2%YCUSMA</t>
  </si>
  <si>
    <r>
      <rPr>
        <b/>
        <sz val="12"/>
        <rFont val="Calibri"/>
        <family val="2"/>
        <scheme val="minor"/>
      </rPr>
      <t>Wine =&gt;7.2%</t>
    </r>
    <r>
      <rPr>
        <sz val="12"/>
        <rFont val="Calibri"/>
        <family val="2"/>
        <scheme val="minor"/>
      </rPr>
      <t>YEU/CETA</t>
    </r>
  </si>
  <si>
    <t>Wine =&gt;7.2%YCPTPP</t>
  </si>
  <si>
    <t>Wine =&gt;7.2%YOther</t>
  </si>
  <si>
    <t>Wine =&gt;7.2%YCUFTA</t>
  </si>
  <si>
    <t>Wine =&gt;7.2%YDomestic</t>
  </si>
  <si>
    <t>Wine Coolers=&lt;7.1%YDomestic</t>
  </si>
  <si>
    <t>Wine Coolers=&lt;7.1%YCUSMA</t>
  </si>
  <si>
    <t>Wine Coolers=&lt;7.1%YEU/CETA</t>
  </si>
  <si>
    <t>Wine Coolers=&lt;7.1%YCPTPP</t>
  </si>
  <si>
    <t>Wine Coolers=&lt;7.1%YCUFTA</t>
  </si>
  <si>
    <t>Wine Coolers=&lt;7.1%YOther</t>
  </si>
  <si>
    <t>Wine Coolers =&gt;7.2%YDomestic</t>
  </si>
  <si>
    <t>Wine Coolers =&gt;7.2%YCUSMA</t>
  </si>
  <si>
    <t>Wine Coolers =&gt;7.2%YEU/CETA</t>
  </si>
  <si>
    <t>Wine Coolers =&gt;7.2%YCPTPP</t>
  </si>
  <si>
    <t>Wine Coolers =&gt;7.2%YCUFTA</t>
  </si>
  <si>
    <t>Wine Coolers =&gt;7.2%YOther</t>
  </si>
  <si>
    <t>Spirit Cooler =&lt;7.1%YDomestic</t>
  </si>
  <si>
    <t>Spirit Cooler =&lt;7.1%YCUSMA</t>
  </si>
  <si>
    <t>Spirit Cooler =&lt;7.1%YEU/CETA</t>
  </si>
  <si>
    <t>Spirit Cooler =&lt;7.1%YCPTPP</t>
  </si>
  <si>
    <t>Spirit Cooler =&lt;7.1%YCUFTA</t>
  </si>
  <si>
    <t>Spirit Cooler =&lt;7.1%YOther</t>
  </si>
  <si>
    <t>Low Alc/ RTD =7.2%to17%YDomestic</t>
  </si>
  <si>
    <t>Low Alc/ RTD =7.2%to17%YCUSMA</t>
  </si>
  <si>
    <t>Low Alc/ RTD =7.2%to17%YEU/CETA</t>
  </si>
  <si>
    <t>Low Alc/ RTD =7.2%to17%YCPTPP</t>
  </si>
  <si>
    <t>Low Alc/ RTD =7.2%to17%YCUFTA</t>
  </si>
  <si>
    <t>Low Alc/ RTD =7.2%to17%YOther</t>
  </si>
  <si>
    <t>Wine Coolers=&lt;7.1%NDomestic</t>
  </si>
  <si>
    <t>Wine Coolers=&lt;7.1%NCUSMA</t>
  </si>
  <si>
    <t>Wine Coolers=&lt;7.1%NEU/CETA</t>
  </si>
  <si>
    <t>Wine Coolers=&lt;7.1%NCPTPP</t>
  </si>
  <si>
    <t>Wine Coolers=&lt;7.1%NCUFTA</t>
  </si>
  <si>
    <t>Wine Coolers=&lt;7.1%NOther</t>
  </si>
  <si>
    <t>Spirit Cooler =&lt;7.1%NDomestic</t>
  </si>
  <si>
    <t>Spirit Cooler =&lt;7.1%NCUSMA</t>
  </si>
  <si>
    <t>Spirit Cooler =&lt;7.1%NEU/CETA</t>
  </si>
  <si>
    <t>Spirit Cooler =&lt;7.1%NCPTPP</t>
  </si>
  <si>
    <t>Spirit Cooler =&lt;7.1%NCUFTA</t>
  </si>
  <si>
    <t>Spirit Cooler =&lt;7.1%NOther</t>
  </si>
  <si>
    <t>Low Alc/ RTD =7.2%to17%NDomestic</t>
  </si>
  <si>
    <t>Low Alc/ RTD =7.2%to17%NCUSMA</t>
  </si>
  <si>
    <t>Low Alc/ RTD =7.2%to17%NEU/CETA</t>
  </si>
  <si>
    <t>Low Alc/ RTD =7.2%to17%NCPTPP</t>
  </si>
  <si>
    <t>Low Alc/ RTD =7.2%to17%NCUFTA</t>
  </si>
  <si>
    <t>Low Alc/ RTD =7.2%to17%NOther</t>
  </si>
  <si>
    <t>Wine Coolers=&lt;7.1%Domestic</t>
  </si>
  <si>
    <t>Wine Coolers=&lt;7.1%CUSMA</t>
  </si>
  <si>
    <t>Wine Coolers=&lt;7.1%EU/CETA</t>
  </si>
  <si>
    <t>Wine Coolers=&lt;7.1%CPTPP</t>
  </si>
  <si>
    <t>Wine Coolers=&lt;7.1%Other</t>
  </si>
  <si>
    <t>Wine Coolers =&gt;7.2%Domestic</t>
  </si>
  <si>
    <t>Wine Coolers =&gt;7.2%CUSMA</t>
  </si>
  <si>
    <t>Wine Coolers =&gt;7.2%EU/CETA</t>
  </si>
  <si>
    <t>Wine Coolers =&gt;7.2%CPTPP</t>
  </si>
  <si>
    <t>Wine Coolers =&gt;7.2%Other</t>
  </si>
  <si>
    <t>Spirit Cooler =&lt;7.1%Domestic</t>
  </si>
  <si>
    <t>Spirit Cooler =&lt;7.1%CUSMA</t>
  </si>
  <si>
    <t>Spirit Cooler =&lt;7.1%EU/CETA</t>
  </si>
  <si>
    <t>Spirit Cooler =&lt;7.1%CPTPP</t>
  </si>
  <si>
    <t>Spirit Cooler =&lt;7.1%Other</t>
  </si>
  <si>
    <t>Low Alc/ RTD =7.2%to17%Domestic</t>
  </si>
  <si>
    <t>Low Alc/ RTD =7.2%to17%CUSMA</t>
  </si>
  <si>
    <t>Low Alc/ RTD =7.2%to17%EU/CETA</t>
  </si>
  <si>
    <t>Low Alc/ RTD =7.2%to17%CPTPP</t>
  </si>
  <si>
    <t>Low Alc/ RTD =7.2%to17%Other</t>
  </si>
  <si>
    <t>Supplier Quote</t>
  </si>
  <si>
    <t>CALCULATED SUPPLIER QUOTE</t>
  </si>
  <si>
    <t>Domestic (excise paid)</t>
  </si>
  <si>
    <t>Certificate of Origins Submission and Inquiries</t>
  </si>
  <si>
    <t>Quote Change Schedule</t>
  </si>
  <si>
    <t>Price Estimate Tool</t>
  </si>
  <si>
    <t>Price Estimation Tool</t>
  </si>
  <si>
    <r>
      <t>Product Category</t>
    </r>
    <r>
      <rPr>
        <sz val="11"/>
        <color rgb="FF000000"/>
        <rFont val="Arial"/>
        <family val="2"/>
      </rPr>
      <t> </t>
    </r>
    <r>
      <rPr>
        <sz val="11"/>
        <color rgb="FF000000"/>
        <rFont val="Aptos"/>
        <family val="2"/>
      </rPr>
      <t> </t>
    </r>
  </si>
  <si>
    <r>
      <t>Mark-up</t>
    </r>
    <r>
      <rPr>
        <sz val="11"/>
        <color rgb="FF000000"/>
        <rFont val="Arial"/>
        <family val="2"/>
      </rPr>
      <t> </t>
    </r>
    <r>
      <rPr>
        <sz val="11"/>
        <color rgb="FF000000"/>
        <rFont val="Aptos"/>
        <family val="2"/>
      </rPr>
      <t> </t>
    </r>
  </si>
  <si>
    <r>
      <t>Wine</t>
    </r>
    <r>
      <rPr>
        <sz val="11"/>
        <rFont val="Arial"/>
        <family val="2"/>
      </rPr>
      <t> </t>
    </r>
    <r>
      <rPr>
        <sz val="11"/>
        <rFont val="Aptos"/>
        <family val="2"/>
      </rPr>
      <t> </t>
    </r>
  </si>
  <si>
    <t>7.1% or below ABV </t>
  </si>
  <si>
    <t>68% </t>
  </si>
  <si>
    <t>7.2% to 18% ABV </t>
  </si>
  <si>
    <t>73% </t>
  </si>
  <si>
    <t>18.1% or above ABV </t>
  </si>
  <si>
    <t>78% </t>
  </si>
  <si>
    <r>
      <t>Cider</t>
    </r>
    <r>
      <rPr>
        <sz val="11"/>
        <rFont val="Arial"/>
        <family val="2"/>
      </rPr>
      <t> </t>
    </r>
    <r>
      <rPr>
        <sz val="11"/>
        <rFont val="Aptos"/>
        <family val="2"/>
      </rPr>
      <t> </t>
    </r>
  </si>
  <si>
    <t>25% </t>
  </si>
  <si>
    <t>30% </t>
  </si>
  <si>
    <t>35% </t>
  </si>
  <si>
    <r>
      <t>Spirits</t>
    </r>
    <r>
      <rPr>
        <sz val="11"/>
        <rFont val="Arial"/>
        <family val="2"/>
      </rPr>
      <t> </t>
    </r>
    <r>
      <rPr>
        <sz val="11"/>
        <rFont val="Aptos"/>
        <family val="2"/>
      </rPr>
      <t> </t>
    </r>
  </si>
  <si>
    <t>95% </t>
  </si>
  <si>
    <t>105% </t>
  </si>
  <si>
    <t>115% </t>
  </si>
  <si>
    <r>
      <t>Ready-to-drink</t>
    </r>
    <r>
      <rPr>
        <sz val="11"/>
        <rFont val="Arial"/>
        <family val="2"/>
      </rPr>
      <t> </t>
    </r>
    <r>
      <rPr>
        <sz val="11"/>
        <rFont val="Aptos"/>
        <family val="2"/>
      </rPr>
      <t> </t>
    </r>
  </si>
  <si>
    <t>46% </t>
  </si>
  <si>
    <t>60% </t>
  </si>
  <si>
    <t>100% </t>
  </si>
  <si>
    <r>
      <t>Beer</t>
    </r>
    <r>
      <rPr>
        <sz val="11"/>
        <rFont val="Arial"/>
        <family val="2"/>
      </rPr>
      <t>  </t>
    </r>
    <r>
      <rPr>
        <sz val="11"/>
        <rFont val="Aptos"/>
        <family val="2"/>
      </rPr>
      <t> </t>
    </r>
  </si>
  <si>
    <t>Manufacturer – draught </t>
  </si>
  <si>
    <t>$1.27/ litre </t>
  </si>
  <si>
    <t>Manufacturer – packaged </t>
  </si>
  <si>
    <t>$1.54/litre </t>
  </si>
  <si>
    <t>Microbrewer – draught </t>
  </si>
  <si>
    <t>$0.61/litre </t>
  </si>
  <si>
    <t>Microbrewer – packaged </t>
  </si>
  <si>
    <t>$0.67/litre </t>
  </si>
  <si>
    <t>WHOLESALE RATES</t>
  </si>
  <si>
    <t>Cider</t>
  </si>
  <si>
    <t>Ready To Drink</t>
  </si>
  <si>
    <t>Retail Price Estimate Tool produces Estimates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</si>
</sst>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quot;$&quot;#,##0.00_);\(&quot;$&quot;#,##0.00\)"/>
    <numFmt numFmtId="165" formatCode="_(&quot;$&quot;* #,##0.00_);_(&quot;$&quot;* \(#,##0.00\);_(&quot;$&quot;* &quot;-&quot;??_);_(@_)"/>
    <numFmt numFmtId="166" formatCode="_(* #,##0.00_);_(* \(#,##0.00\);_(* &quot;-&quot;??_);_(@_)"/>
    <numFmt numFmtId="167" formatCode="General_)"/>
    <numFmt numFmtId="168" formatCode="dd\-mmm\-yy_)"/>
    <numFmt numFmtId="169" formatCode="hh:mm\ AM/PM_)"/>
    <numFmt numFmtId="170" formatCode="0.000_)"/>
    <numFmt numFmtId="171" formatCode="0_)"/>
    <numFmt numFmtId="172" formatCode="0.0%"/>
    <numFmt numFmtId="173" formatCode="0.000000_)"/>
    <numFmt numFmtId="174" formatCode="0.0000_)"/>
    <numFmt numFmtId="175" formatCode="0.00_)"/>
    <numFmt numFmtId="176" formatCode="&quot;$&quot;#,##0.0000_);\(&quot;$&quot;#,##0.0000\)"/>
    <numFmt numFmtId="177" formatCode="0.0000%"/>
    <numFmt numFmtId="178" formatCode="&quot;$&quot;#,##0.00"/>
    <numFmt numFmtId="179" formatCode="[$$-1009]#,##0.00"/>
    <numFmt numFmtId="180" formatCode="0.0000"/>
    <numFmt numFmtId="181" formatCode="0.000%"/>
    <numFmt numFmtId="182" formatCode="[$-409]mmmm\ d\,\ yyyy;@"/>
    <numFmt numFmtId="183" formatCode="#,##0.00;[Red]#,##0.00"/>
    <numFmt numFmtId="184" formatCode="00000"/>
    <numFmt numFmtId="185" formatCode="0.000"/>
    <numFmt numFmtId="186" formatCode="#,##0.0000_);\(#,##0.0000\)"/>
    <numFmt numFmtId="187" formatCode="[$$-1009]#,##0.00;\-[$$-1009]#,##0.00"/>
    <numFmt numFmtId="188" formatCode="&quot;$&quot;#,##0.0000"/>
    <numFmt numFmtId="189" formatCode="&quot;$&quot;#,##0.000_);\(&quot;$&quot;#,##0.000\)"/>
    <numFmt numFmtId="190" formatCode="0.00000_)"/>
    <numFmt numFmtId="191" formatCode="0.00000"/>
    <numFmt numFmtId="192" formatCode="0.00000%"/>
    <numFmt numFmtId="193" formatCode="_(* #,##0.0000_);_(* \(#,##0.0000\);_(* &quot;-&quot;??_);_(@_)"/>
    <numFmt numFmtId="194" formatCode="_(* #,##0.00000_);_(* \(#,##0.00000\);_(* &quot;-&quot;??_);_(@_)"/>
    <numFmt numFmtId="195" formatCode="_(* #,##0.000_);_(* \(#,##0.000\);_(* &quot;-&quot;??_);_(@_)"/>
    <numFmt numFmtId="196" formatCode="_(* #,##0.0000000000000000000000_);_(* \(#,##0.0000000000000000000000\);_(* &quot;-&quot;??_);_(@_)"/>
  </numFmts>
  <fonts count="53">
    <font>
      <sz val="12"/>
      <name val="Helv"/>
    </font>
    <font>
      <sz val="11"/>
      <color theme="1"/>
      <name val="Calibri"/>
      <family val="2"/>
      <scheme val="minor"/>
    </font>
    <font>
      <sz val="10"/>
      <name val="Arial"/>
      <family val="2"/>
    </font>
    <font>
      <sz val="11"/>
      <name val="Calibri"/>
      <family val="2"/>
      <scheme val="minor"/>
    </font>
    <font>
      <b/>
      <sz val="11"/>
      <name val="Calibri"/>
      <family val="2"/>
      <scheme val="minor"/>
    </font>
    <font>
      <sz val="11"/>
      <color indexed="20"/>
      <name val="Calibri"/>
      <family val="2"/>
      <scheme val="minor"/>
    </font>
    <font>
      <u/>
      <sz val="11"/>
      <name val="Calibri"/>
      <family val="2"/>
      <scheme val="minor"/>
    </font>
    <font>
      <b/>
      <sz val="11"/>
      <color indexed="20"/>
      <name val="Calibri"/>
      <family val="2"/>
      <scheme val="minor"/>
    </font>
    <font>
      <b/>
      <i/>
      <sz val="11"/>
      <name val="Calibri"/>
      <family val="2"/>
      <scheme val="minor"/>
    </font>
    <font>
      <sz val="12"/>
      <name val="Calibri"/>
      <family val="2"/>
      <scheme val="minor"/>
    </font>
    <font>
      <u/>
      <sz val="10"/>
      <color theme="10"/>
      <name val="Arial MT"/>
    </font>
    <font>
      <sz val="10"/>
      <name val="Calibri"/>
      <family val="2"/>
      <scheme val="minor"/>
    </font>
    <font>
      <b/>
      <sz val="9"/>
      <color indexed="81"/>
      <name val="Tahoma"/>
      <family val="2"/>
    </font>
    <font>
      <b/>
      <sz val="10"/>
      <color theme="0"/>
      <name val="Arial MT"/>
    </font>
    <font>
      <sz val="9"/>
      <color indexed="81"/>
      <name val="Tahoma"/>
      <family val="2"/>
    </font>
    <font>
      <b/>
      <sz val="16"/>
      <name val="Calibri"/>
      <family val="2"/>
      <scheme val="minor"/>
    </font>
    <font>
      <b/>
      <sz val="12"/>
      <name val="Calibri"/>
      <family val="2"/>
      <scheme val="minor"/>
    </font>
    <font>
      <u/>
      <sz val="10"/>
      <color theme="10"/>
      <name val="Arial"/>
      <family val="2"/>
    </font>
    <font>
      <sz val="12"/>
      <name val="Helv"/>
    </font>
    <font>
      <b/>
      <sz val="11"/>
      <color theme="3"/>
      <name val="Calibri"/>
      <family val="2"/>
      <scheme val="minor"/>
    </font>
    <font>
      <sz val="11"/>
      <color rgb="FFFF0000"/>
      <name val="Calibri"/>
      <family val="2"/>
      <scheme val="minor"/>
    </font>
    <font>
      <sz val="16"/>
      <name val="Helv"/>
    </font>
    <font>
      <sz val="14"/>
      <name val="Helv"/>
    </font>
    <font>
      <b/>
      <sz val="12"/>
      <name val="Helv"/>
    </font>
    <font>
      <b/>
      <sz val="11"/>
      <color rgb="FFC00000"/>
      <name val="Calibri"/>
      <family val="2"/>
      <scheme val="minor"/>
    </font>
    <font>
      <b/>
      <u/>
      <sz val="11"/>
      <name val="Calibri"/>
      <family val="2"/>
      <scheme val="minor"/>
    </font>
    <font>
      <b/>
      <sz val="16"/>
      <color rgb="FFFF0000"/>
      <name val="Calibri"/>
      <family val="2"/>
      <scheme val="minor"/>
    </font>
    <font>
      <sz val="10"/>
      <name val="Helv"/>
    </font>
    <font>
      <sz val="11"/>
      <color indexed="12"/>
      <name val="Calibri"/>
      <family val="2"/>
      <scheme val="minor"/>
    </font>
    <font>
      <b/>
      <sz val="14"/>
      <name val="Calibri"/>
      <family val="2"/>
      <scheme val="minor"/>
    </font>
    <font>
      <b/>
      <sz val="14"/>
      <color theme="0"/>
      <name val="Calibri"/>
      <family val="2"/>
      <scheme val="minor"/>
    </font>
    <font>
      <b/>
      <sz val="11"/>
      <color rgb="FF7030A0"/>
      <name val="Calibri"/>
      <family val="2"/>
      <scheme val="minor"/>
    </font>
    <font>
      <sz val="12"/>
      <color theme="0"/>
      <name val="Helv"/>
    </font>
    <font>
      <b/>
      <sz val="12"/>
      <color theme="0"/>
      <name val="Helv"/>
    </font>
    <font>
      <sz val="16"/>
      <color theme="0"/>
      <name val="Helv"/>
    </font>
    <font>
      <sz val="11"/>
      <color indexed="81"/>
      <name val="Tahoma"/>
      <family val="2"/>
    </font>
    <font>
      <sz val="12"/>
      <color indexed="81"/>
      <name val="Tahoma"/>
      <family val="2"/>
    </font>
    <font>
      <b/>
      <u/>
      <sz val="11"/>
      <color indexed="81"/>
      <name val="Tahoma"/>
      <family val="2"/>
    </font>
    <font>
      <sz val="11"/>
      <color indexed="8"/>
      <name val="Calibri"/>
      <family val="2"/>
    </font>
    <font>
      <u/>
      <sz val="11"/>
      <color theme="10"/>
      <name val="Calibri"/>
      <family val="2"/>
    </font>
    <font>
      <sz val="12"/>
      <name val="Calibri"/>
      <family val="2"/>
    </font>
    <font>
      <b/>
      <sz val="11"/>
      <color theme="0"/>
      <name val="Calibri"/>
      <family val="2"/>
      <scheme val="minor"/>
    </font>
    <font>
      <b/>
      <sz val="11"/>
      <color indexed="81"/>
      <name val="Tahoma"/>
      <family val="2"/>
    </font>
    <font>
      <u/>
      <sz val="9"/>
      <color indexed="81"/>
      <name val="Tahoma"/>
      <family val="2"/>
    </font>
    <font>
      <sz val="11"/>
      <color rgb="FF000000"/>
      <name val="Calibri"/>
      <family val="2"/>
    </font>
    <font>
      <b/>
      <sz val="12"/>
      <color theme="1"/>
      <name val="Helv"/>
    </font>
    <font>
      <sz val="12"/>
      <color theme="1"/>
      <name val="Helv"/>
    </font>
    <font>
      <sz val="8"/>
      <name val="Helv"/>
    </font>
    <font>
      <sz val="11"/>
      <name val="Aptos"/>
      <family val="2"/>
    </font>
    <font>
      <b/>
      <sz val="11"/>
      <color rgb="FF000000"/>
      <name val="Aptos"/>
      <family val="2"/>
    </font>
    <font>
      <sz val="11"/>
      <color rgb="FF000000"/>
      <name val="Arial"/>
      <family val="2"/>
    </font>
    <font>
      <sz val="11"/>
      <color rgb="FF000000"/>
      <name val="Aptos"/>
      <family val="2"/>
    </font>
    <font>
      <sz val="11"/>
      <name val="Arial"/>
      <family val="2"/>
    </font>
  </fonts>
  <fills count="20">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DDDDDD"/>
        <bgColor indexed="64"/>
      </patternFill>
    </fill>
    <fill>
      <patternFill patternType="solid">
        <fgColor theme="6" tint="0.3999755851924192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8"/>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thin">
        <color indexed="64"/>
      </right>
      <top style="thin">
        <color indexed="64"/>
      </top>
      <bottom style="thin">
        <color indexed="64"/>
      </bottom>
      <diagonal/>
    </border>
    <border>
      <left/>
      <right style="medium">
        <color indexed="64"/>
      </right>
      <top style="medium">
        <color indexed="64"/>
      </top>
      <bottom style="medium">
        <color theme="0" tint="-4.9989318521683403E-2"/>
      </bottom>
      <diagonal/>
    </border>
    <border>
      <left/>
      <right style="medium">
        <color indexed="64"/>
      </right>
      <top style="medium">
        <color theme="0" tint="-4.9989318521683403E-2"/>
      </top>
      <bottom style="medium">
        <color theme="0" tint="-4.9989318521683403E-2"/>
      </bottom>
      <diagonal/>
    </border>
    <border>
      <left/>
      <right style="medium">
        <color indexed="64"/>
      </right>
      <top style="medium">
        <color theme="0" tint="-4.9989318521683403E-2"/>
      </top>
      <bottom style="medium">
        <color indexed="64"/>
      </bottom>
      <diagonal/>
    </border>
    <border>
      <left/>
      <right style="medium">
        <color indexed="64"/>
      </right>
      <top style="medium">
        <color indexed="64"/>
      </top>
      <bottom style="medium">
        <color theme="0"/>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right/>
      <top/>
      <bottom style="thin">
        <color rgb="FF000000"/>
      </bottom>
      <diagonal/>
    </border>
  </borders>
  <cellStyleXfs count="13">
    <xf numFmtId="167" fontId="0" fillId="0" borderId="0"/>
    <xf numFmtId="165"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166" fontId="18"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38" fillId="0" borderId="0" applyFont="0" applyFill="0" applyBorder="0" applyAlignment="0" applyProtection="0"/>
    <xf numFmtId="0" fontId="39" fillId="0" borderId="0" applyNumberFormat="0" applyFill="0" applyBorder="0" applyAlignment="0" applyProtection="0">
      <alignment vertical="top"/>
      <protection locked="0"/>
    </xf>
    <xf numFmtId="9" fontId="1" fillId="0" borderId="0" applyFont="0" applyFill="0" applyBorder="0" applyAlignment="0" applyProtection="0"/>
    <xf numFmtId="165" fontId="1" fillId="0" borderId="0" applyFont="0" applyFill="0" applyBorder="0" applyAlignment="0" applyProtection="0"/>
    <xf numFmtId="9" fontId="2" fillId="0" borderId="0" applyFont="0" applyFill="0" applyBorder="0" applyAlignment="0" applyProtection="0"/>
  </cellStyleXfs>
  <cellXfs count="544">
    <xf numFmtId="167" fontId="0" fillId="0" borderId="0" xfId="0"/>
    <xf numFmtId="167" fontId="3" fillId="2" borderId="0" xfId="0" applyFont="1" applyFill="1"/>
    <xf numFmtId="167" fontId="4" fillId="2" borderId="0" xfId="0" applyFont="1" applyFill="1" applyAlignment="1">
      <alignment horizontal="left"/>
    </xf>
    <xf numFmtId="167" fontId="4" fillId="2" borderId="0" xfId="0" applyFont="1" applyFill="1" applyAlignment="1">
      <alignment horizontal="center"/>
    </xf>
    <xf numFmtId="169" fontId="3" fillId="2" borderId="0" xfId="0" applyNumberFormat="1" applyFont="1" applyFill="1"/>
    <xf numFmtId="167" fontId="3" fillId="2" borderId="0" xfId="0" applyFont="1" applyFill="1" applyAlignment="1">
      <alignment horizontal="left"/>
    </xf>
    <xf numFmtId="167" fontId="3" fillId="2" borderId="0" xfId="0" applyFont="1" applyFill="1" applyAlignment="1">
      <alignment horizontal="right"/>
    </xf>
    <xf numFmtId="167" fontId="4" fillId="2" borderId="0" xfId="0" applyFont="1" applyFill="1"/>
    <xf numFmtId="174" fontId="3" fillId="2" borderId="0" xfId="0" applyNumberFormat="1" applyFont="1" applyFill="1"/>
    <xf numFmtId="164" fontId="3" fillId="2" borderId="0" xfId="0" applyNumberFormat="1" applyFont="1" applyFill="1"/>
    <xf numFmtId="180" fontId="3" fillId="2" borderId="0" xfId="0" applyNumberFormat="1" applyFont="1" applyFill="1"/>
    <xf numFmtId="176" fontId="3" fillId="2" borderId="0" xfId="0" applyNumberFormat="1" applyFont="1" applyFill="1"/>
    <xf numFmtId="165" fontId="3" fillId="2" borderId="0" xfId="1" applyFont="1" applyFill="1"/>
    <xf numFmtId="165" fontId="3" fillId="2" borderId="1" xfId="1" applyFont="1" applyFill="1" applyBorder="1"/>
    <xf numFmtId="175" fontId="3" fillId="2" borderId="0" xfId="0" applyNumberFormat="1" applyFont="1" applyFill="1"/>
    <xf numFmtId="167" fontId="5" fillId="2" borderId="0" xfId="0" applyFont="1" applyFill="1"/>
    <xf numFmtId="164" fontId="4" fillId="0" borderId="0" xfId="0" applyNumberFormat="1" applyFont="1"/>
    <xf numFmtId="167" fontId="6" fillId="2" borderId="0" xfId="0" applyFont="1" applyFill="1"/>
    <xf numFmtId="178" fontId="3" fillId="2" borderId="0" xfId="0" applyNumberFormat="1" applyFont="1" applyFill="1" applyAlignment="1">
      <alignment horizontal="center"/>
    </xf>
    <xf numFmtId="178" fontId="3" fillId="2" borderId="0" xfId="0" applyNumberFormat="1" applyFont="1" applyFill="1" applyAlignment="1">
      <alignment horizontal="right"/>
    </xf>
    <xf numFmtId="181" fontId="3" fillId="2" borderId="0" xfId="2" applyNumberFormat="1" applyFont="1" applyFill="1" applyAlignment="1">
      <alignment horizontal="right"/>
    </xf>
    <xf numFmtId="182" fontId="3" fillId="2" borderId="0" xfId="0" applyNumberFormat="1" applyFont="1" applyFill="1" applyAlignment="1">
      <alignment horizontal="left"/>
    </xf>
    <xf numFmtId="10" fontId="3" fillId="2" borderId="0" xfId="2" applyNumberFormat="1" applyFont="1" applyFill="1" applyAlignment="1">
      <alignment horizontal="left"/>
    </xf>
    <xf numFmtId="10" fontId="3" fillId="2" borderId="0" xfId="2" applyNumberFormat="1" applyFont="1" applyFill="1"/>
    <xf numFmtId="167" fontId="3" fillId="0" borderId="0" xfId="0" applyFont="1"/>
    <xf numFmtId="167" fontId="3" fillId="2" borderId="14" xfId="0" applyFont="1" applyFill="1" applyBorder="1"/>
    <xf numFmtId="167" fontId="8" fillId="2" borderId="0" xfId="0" applyFont="1" applyFill="1"/>
    <xf numFmtId="167" fontId="3" fillId="2" borderId="10" xfId="0" applyFont="1" applyFill="1" applyBorder="1"/>
    <xf numFmtId="167" fontId="3" fillId="2" borderId="11" xfId="0" applyFont="1" applyFill="1" applyBorder="1"/>
    <xf numFmtId="167" fontId="3" fillId="2" borderId="0" xfId="0" applyFont="1" applyFill="1" applyAlignment="1">
      <alignment horizontal="center"/>
    </xf>
    <xf numFmtId="179" fontId="3" fillId="2" borderId="0" xfId="0" applyNumberFormat="1" applyFont="1" applyFill="1" applyAlignment="1">
      <alignment horizontal="right"/>
    </xf>
    <xf numFmtId="167" fontId="4" fillId="6" borderId="7" xfId="0" applyFont="1" applyFill="1" applyBorder="1"/>
    <xf numFmtId="167" fontId="4" fillId="6" borderId="10" xfId="0" applyFont="1" applyFill="1" applyBorder="1" applyAlignment="1">
      <alignment horizontal="left"/>
    </xf>
    <xf numFmtId="167" fontId="4" fillId="6" borderId="10" xfId="0" applyFont="1" applyFill="1" applyBorder="1"/>
    <xf numFmtId="167" fontId="4" fillId="6" borderId="10" xfId="0" quotePrefix="1" applyFont="1" applyFill="1" applyBorder="1" applyAlignment="1">
      <alignment horizontal="left"/>
    </xf>
    <xf numFmtId="167" fontId="15" fillId="2" borderId="3" xfId="0" applyFont="1" applyFill="1" applyBorder="1"/>
    <xf numFmtId="167" fontId="3" fillId="7" borderId="0" xfId="0" applyFont="1" applyFill="1"/>
    <xf numFmtId="167" fontId="0" fillId="0" borderId="13" xfId="0" applyBorder="1"/>
    <xf numFmtId="167" fontId="0" fillId="0" borderId="6" xfId="0" applyBorder="1"/>
    <xf numFmtId="169" fontId="4" fillId="2" borderId="0" xfId="0" applyNumberFormat="1" applyFont="1" applyFill="1" applyAlignment="1">
      <alignment horizontal="right"/>
    </xf>
    <xf numFmtId="167" fontId="3" fillId="2" borderId="7" xfId="0" applyFont="1" applyFill="1" applyBorder="1"/>
    <xf numFmtId="176" fontId="3" fillId="2" borderId="9" xfId="0" applyNumberFormat="1" applyFont="1" applyFill="1" applyBorder="1" applyAlignment="1">
      <alignment horizontal="right"/>
    </xf>
    <xf numFmtId="174" fontId="3" fillId="2" borderId="11" xfId="0" applyNumberFormat="1" applyFont="1" applyFill="1" applyBorder="1" applyAlignment="1">
      <alignment horizontal="right"/>
    </xf>
    <xf numFmtId="167" fontId="3" fillId="2" borderId="10" xfId="0" applyFont="1" applyFill="1" applyBorder="1" applyAlignment="1">
      <alignment horizontal="left"/>
    </xf>
    <xf numFmtId="174" fontId="6" fillId="2" borderId="11" xfId="0" applyNumberFormat="1" applyFont="1" applyFill="1" applyBorder="1" applyAlignment="1">
      <alignment horizontal="right"/>
    </xf>
    <xf numFmtId="176" fontId="3" fillId="2" borderId="11" xfId="0" applyNumberFormat="1" applyFont="1" applyFill="1" applyBorder="1" applyAlignment="1">
      <alignment horizontal="right"/>
    </xf>
    <xf numFmtId="167" fontId="6" fillId="2" borderId="11" xfId="0" applyFont="1" applyFill="1" applyBorder="1" applyAlignment="1">
      <alignment horizontal="right"/>
    </xf>
    <xf numFmtId="167" fontId="3" fillId="2" borderId="11" xfId="0" applyFont="1" applyFill="1" applyBorder="1" applyAlignment="1">
      <alignment horizontal="right"/>
    </xf>
    <xf numFmtId="167" fontId="3" fillId="2" borderId="10" xfId="0" applyFont="1" applyFill="1" applyBorder="1" applyAlignment="1">
      <alignment horizontal="right"/>
    </xf>
    <xf numFmtId="164" fontId="3" fillId="2" borderId="11" xfId="0" applyNumberFormat="1" applyFont="1" applyFill="1" applyBorder="1" applyAlignment="1">
      <alignment horizontal="right"/>
    </xf>
    <xf numFmtId="164" fontId="3" fillId="2" borderId="15" xfId="0" applyNumberFormat="1" applyFont="1" applyFill="1" applyBorder="1" applyAlignment="1">
      <alignment horizontal="right"/>
    </xf>
    <xf numFmtId="179" fontId="3" fillId="2" borderId="11" xfId="0" applyNumberFormat="1" applyFont="1" applyFill="1" applyBorder="1" applyAlignment="1">
      <alignment horizontal="right"/>
    </xf>
    <xf numFmtId="167" fontId="3" fillId="2" borderId="7" xfId="0" applyFont="1" applyFill="1" applyBorder="1" applyAlignment="1">
      <alignment horizontal="left"/>
    </xf>
    <xf numFmtId="167" fontId="3" fillId="7" borderId="10" xfId="0" quotePrefix="1" applyFont="1" applyFill="1" applyBorder="1" applyAlignment="1">
      <alignment horizontal="left"/>
    </xf>
    <xf numFmtId="167" fontId="3" fillId="2" borderId="10" xfId="0" quotePrefix="1" applyFont="1" applyFill="1" applyBorder="1" applyAlignment="1">
      <alignment horizontal="left"/>
    </xf>
    <xf numFmtId="167" fontId="3" fillId="2" borderId="10" xfId="0" applyFont="1" applyFill="1" applyBorder="1" applyAlignment="1">
      <alignment horizontal="left" vertical="top"/>
    </xf>
    <xf numFmtId="167" fontId="3" fillId="2" borderId="12" xfId="0" applyFont="1" applyFill="1" applyBorder="1" applyAlignment="1">
      <alignment horizontal="left"/>
    </xf>
    <xf numFmtId="167" fontId="16" fillId="2" borderId="3" xfId="0" applyFont="1" applyFill="1" applyBorder="1" applyAlignment="1">
      <alignment horizontal="left"/>
    </xf>
    <xf numFmtId="179" fontId="16" fillId="2" borderId="4" xfId="0" applyNumberFormat="1" applyFont="1" applyFill="1" applyBorder="1" applyAlignment="1">
      <alignment horizontal="right"/>
    </xf>
    <xf numFmtId="182" fontId="8" fillId="2" borderId="0" xfId="0" applyNumberFormat="1" applyFont="1" applyFill="1" applyAlignment="1">
      <alignment horizontal="left"/>
    </xf>
    <xf numFmtId="167" fontId="13" fillId="8" borderId="19" xfId="0" applyFont="1" applyFill="1" applyBorder="1"/>
    <xf numFmtId="167" fontId="13" fillId="8" borderId="20" xfId="0" applyFont="1" applyFill="1" applyBorder="1"/>
    <xf numFmtId="167" fontId="7" fillId="0" borderId="0" xfId="0" applyFont="1"/>
    <xf numFmtId="164" fontId="3" fillId="0" borderId="0" xfId="0" applyNumberFormat="1" applyFont="1"/>
    <xf numFmtId="9" fontId="3" fillId="2" borderId="0" xfId="0" applyNumberFormat="1" applyFont="1" applyFill="1" applyAlignment="1">
      <alignment horizontal="left"/>
    </xf>
    <xf numFmtId="168" fontId="16" fillId="0" borderId="3" xfId="0" applyNumberFormat="1" applyFont="1" applyBorder="1" applyAlignment="1">
      <alignment horizontal="left"/>
    </xf>
    <xf numFmtId="180" fontId="3" fillId="2" borderId="11" xfId="0" applyNumberFormat="1" applyFont="1" applyFill="1" applyBorder="1"/>
    <xf numFmtId="174" fontId="3" fillId="2" borderId="9" xfId="0" applyNumberFormat="1" applyFont="1" applyFill="1" applyBorder="1" applyAlignment="1">
      <alignment horizontal="right"/>
    </xf>
    <xf numFmtId="180" fontId="3" fillId="2" borderId="11" xfId="0" applyNumberFormat="1" applyFont="1" applyFill="1" applyBorder="1" applyAlignment="1">
      <alignment horizontal="right"/>
    </xf>
    <xf numFmtId="167" fontId="21" fillId="0" borderId="0" xfId="0" applyFont="1"/>
    <xf numFmtId="167" fontId="22" fillId="0" borderId="0" xfId="0" applyFont="1" applyAlignment="1">
      <alignment horizontal="left" indent="1"/>
    </xf>
    <xf numFmtId="167" fontId="0" fillId="0" borderId="0" xfId="0" applyAlignment="1">
      <alignment horizontal="left" indent="2"/>
    </xf>
    <xf numFmtId="185" fontId="0" fillId="0" borderId="0" xfId="0" applyNumberFormat="1"/>
    <xf numFmtId="167" fontId="9" fillId="0" borderId="0" xfId="0" applyFont="1"/>
    <xf numFmtId="172" fontId="0" fillId="0" borderId="0" xfId="2" applyNumberFormat="1" applyFont="1" applyAlignment="1">
      <alignment horizontal="left" indent="2"/>
    </xf>
    <xf numFmtId="167" fontId="20" fillId="2" borderId="0" xfId="0" applyFont="1" applyFill="1"/>
    <xf numFmtId="167" fontId="20" fillId="2" borderId="0" xfId="0" applyFont="1" applyFill="1" applyAlignment="1">
      <alignment horizontal="left"/>
    </xf>
    <xf numFmtId="167" fontId="20" fillId="2" borderId="0" xfId="0" applyFont="1" applyFill="1" applyAlignment="1">
      <alignment horizontal="center"/>
    </xf>
    <xf numFmtId="175" fontId="3" fillId="0" borderId="11" xfId="0" applyNumberFormat="1" applyFont="1" applyBorder="1" applyAlignment="1">
      <alignment horizontal="right"/>
    </xf>
    <xf numFmtId="164" fontId="15" fillId="2" borderId="4" xfId="0" applyNumberFormat="1" applyFont="1" applyFill="1" applyBorder="1"/>
    <xf numFmtId="176" fontId="3" fillId="2" borderId="11" xfId="0" applyNumberFormat="1" applyFont="1" applyFill="1" applyBorder="1"/>
    <xf numFmtId="178" fontId="3" fillId="2" borderId="0" xfId="0" applyNumberFormat="1" applyFont="1" applyFill="1" applyAlignment="1">
      <alignment horizontal="left"/>
    </xf>
    <xf numFmtId="176" fontId="6" fillId="2" borderId="0" xfId="0" applyNumberFormat="1" applyFont="1" applyFill="1"/>
    <xf numFmtId="186" fontId="6" fillId="2" borderId="0" xfId="0" applyNumberFormat="1" applyFont="1" applyFill="1"/>
    <xf numFmtId="174" fontId="3" fillId="2" borderId="11" xfId="0" applyNumberFormat="1" applyFont="1" applyFill="1" applyBorder="1"/>
    <xf numFmtId="187" fontId="3" fillId="2" borderId="0" xfId="1" applyNumberFormat="1" applyFont="1" applyFill="1" applyBorder="1"/>
    <xf numFmtId="164" fontId="3" fillId="2" borderId="11" xfId="0" applyNumberFormat="1" applyFont="1" applyFill="1" applyBorder="1"/>
    <xf numFmtId="164" fontId="4" fillId="2" borderId="0" xfId="0" applyNumberFormat="1" applyFont="1" applyFill="1" applyAlignment="1">
      <alignment horizontal="center"/>
    </xf>
    <xf numFmtId="10" fontId="3" fillId="2" borderId="0" xfId="2" applyNumberFormat="1" applyFont="1" applyFill="1" applyBorder="1"/>
    <xf numFmtId="188" fontId="3" fillId="2" borderId="0" xfId="0" applyNumberFormat="1" applyFont="1" applyFill="1" applyAlignment="1">
      <alignment horizontal="center"/>
    </xf>
    <xf numFmtId="188" fontId="3" fillId="2" borderId="0" xfId="0" applyNumberFormat="1" applyFont="1" applyFill="1" applyAlignment="1">
      <alignment horizontal="left"/>
    </xf>
    <xf numFmtId="178" fontId="20" fillId="2" borderId="0" xfId="0" applyNumberFormat="1" applyFont="1" applyFill="1" applyAlignment="1">
      <alignment horizontal="center"/>
    </xf>
    <xf numFmtId="178" fontId="20" fillId="2" borderId="0" xfId="0" applyNumberFormat="1" applyFont="1" applyFill="1" applyAlignment="1">
      <alignment horizontal="left"/>
    </xf>
    <xf numFmtId="168" fontId="16" fillId="7" borderId="3" xfId="0" applyNumberFormat="1" applyFont="1" applyFill="1" applyBorder="1" applyAlignment="1">
      <alignment horizontal="left"/>
    </xf>
    <xf numFmtId="168" fontId="6" fillId="7" borderId="4" xfId="0" applyNumberFormat="1" applyFont="1" applyFill="1" applyBorder="1"/>
    <xf numFmtId="189" fontId="3" fillId="2" borderId="11" xfId="0" applyNumberFormat="1" applyFont="1" applyFill="1" applyBorder="1" applyAlignment="1">
      <alignment horizontal="right"/>
    </xf>
    <xf numFmtId="177" fontId="3" fillId="2" borderId="0" xfId="0" applyNumberFormat="1" applyFont="1" applyFill="1" applyAlignment="1">
      <alignment horizontal="right"/>
    </xf>
    <xf numFmtId="10" fontId="3" fillId="2" borderId="0" xfId="2" applyNumberFormat="1" applyFont="1" applyFill="1" applyAlignment="1">
      <alignment horizontal="right"/>
    </xf>
    <xf numFmtId="177" fontId="3" fillId="2" borderId="0" xfId="0" applyNumberFormat="1" applyFont="1" applyFill="1"/>
    <xf numFmtId="167" fontId="3" fillId="2" borderId="4" xfId="0" applyFont="1" applyFill="1" applyBorder="1" applyAlignment="1">
      <alignment horizontal="right"/>
    </xf>
    <xf numFmtId="167" fontId="4" fillId="6" borderId="10" xfId="0" applyFont="1" applyFill="1" applyBorder="1" applyAlignment="1">
      <alignment horizontal="left" indent="2"/>
    </xf>
    <xf numFmtId="189" fontId="3" fillId="2" borderId="9" xfId="0" applyNumberFormat="1" applyFont="1" applyFill="1" applyBorder="1" applyAlignment="1">
      <alignment horizontal="right"/>
    </xf>
    <xf numFmtId="189" fontId="6" fillId="2" borderId="11" xfId="0" applyNumberFormat="1" applyFont="1" applyFill="1" applyBorder="1" applyAlignment="1">
      <alignment horizontal="right"/>
    </xf>
    <xf numFmtId="164" fontId="3" fillId="2" borderId="9" xfId="0" applyNumberFormat="1" applyFont="1" applyFill="1" applyBorder="1" applyAlignment="1">
      <alignment horizontal="right"/>
    </xf>
    <xf numFmtId="164" fontId="6" fillId="2" borderId="11" xfId="0" applyNumberFormat="1" applyFont="1" applyFill="1" applyBorder="1" applyAlignment="1">
      <alignment horizontal="right"/>
    </xf>
    <xf numFmtId="164" fontId="3" fillId="0" borderId="11" xfId="0" applyNumberFormat="1" applyFont="1" applyBorder="1" applyAlignment="1">
      <alignment horizontal="right"/>
    </xf>
    <xf numFmtId="167" fontId="27" fillId="0" borderId="10" xfId="0" applyFont="1" applyBorder="1"/>
    <xf numFmtId="167" fontId="11" fillId="0" borderId="0" xfId="0" applyFont="1"/>
    <xf numFmtId="167" fontId="11" fillId="0" borderId="0" xfId="0" applyFont="1" applyAlignment="1">
      <alignment horizontal="center"/>
    </xf>
    <xf numFmtId="167" fontId="11" fillId="9" borderId="0" xfId="0" applyFont="1" applyFill="1" applyAlignment="1">
      <alignment horizontal="center"/>
    </xf>
    <xf numFmtId="180" fontId="13" fillId="8" borderId="21" xfId="0" applyNumberFormat="1" applyFont="1" applyFill="1" applyBorder="1" applyAlignment="1">
      <alignment horizontal="center"/>
    </xf>
    <xf numFmtId="176" fontId="3" fillId="2" borderId="0" xfId="1" applyNumberFormat="1" applyFont="1" applyFill="1"/>
    <xf numFmtId="174" fontId="3" fillId="2" borderId="9" xfId="0" applyNumberFormat="1" applyFont="1" applyFill="1" applyBorder="1"/>
    <xf numFmtId="170" fontId="3" fillId="2" borderId="11" xfId="0" applyNumberFormat="1" applyFont="1" applyFill="1" applyBorder="1"/>
    <xf numFmtId="10" fontId="3" fillId="2" borderId="11" xfId="0" applyNumberFormat="1" applyFont="1" applyFill="1" applyBorder="1"/>
    <xf numFmtId="167" fontId="3" fillId="2" borderId="4" xfId="0" applyFont="1" applyFill="1" applyBorder="1"/>
    <xf numFmtId="167" fontId="4" fillId="2" borderId="3" xfId="0" applyFont="1" applyFill="1" applyBorder="1" applyAlignment="1">
      <alignment horizontal="left"/>
    </xf>
    <xf numFmtId="167" fontId="25" fillId="2" borderId="0" xfId="0" applyFont="1" applyFill="1"/>
    <xf numFmtId="10" fontId="3" fillId="2" borderId="0" xfId="2" applyNumberFormat="1" applyFont="1" applyFill="1" applyProtection="1"/>
    <xf numFmtId="170" fontId="3" fillId="2" borderId="0" xfId="0" applyNumberFormat="1" applyFont="1" applyFill="1"/>
    <xf numFmtId="10" fontId="3" fillId="2" borderId="0" xfId="0" applyNumberFormat="1" applyFont="1" applyFill="1"/>
    <xf numFmtId="190" fontId="3" fillId="2" borderId="0" xfId="0" applyNumberFormat="1" applyFont="1" applyFill="1"/>
    <xf numFmtId="10" fontId="28" fillId="2" borderId="0" xfId="0" applyNumberFormat="1" applyFont="1" applyFill="1" applyProtection="1">
      <protection locked="0"/>
    </xf>
    <xf numFmtId="174" fontId="28" fillId="2" borderId="0" xfId="0" applyNumberFormat="1" applyFont="1" applyFill="1" applyProtection="1">
      <protection locked="0"/>
    </xf>
    <xf numFmtId="171" fontId="3" fillId="2" borderId="0" xfId="0" applyNumberFormat="1" applyFont="1" applyFill="1"/>
    <xf numFmtId="176" fontId="28" fillId="2" borderId="0" xfId="0" applyNumberFormat="1" applyFont="1" applyFill="1" applyProtection="1">
      <protection locked="0"/>
    </xf>
    <xf numFmtId="174" fontId="4" fillId="0" borderId="0" xfId="0" applyNumberFormat="1" applyFont="1" applyAlignment="1">
      <alignment horizontal="right"/>
    </xf>
    <xf numFmtId="164" fontId="24" fillId="7" borderId="0" xfId="0" applyNumberFormat="1" applyFont="1" applyFill="1" applyAlignment="1">
      <alignment horizontal="right"/>
    </xf>
    <xf numFmtId="167" fontId="29" fillId="12" borderId="3" xfId="0" applyFont="1" applyFill="1" applyBorder="1" applyAlignment="1">
      <alignment horizontal="left"/>
    </xf>
    <xf numFmtId="174" fontId="6" fillId="0" borderId="0" xfId="0" applyNumberFormat="1" applyFont="1" applyAlignment="1">
      <alignment horizontal="right"/>
    </xf>
    <xf numFmtId="167" fontId="3" fillId="2" borderId="5" xfId="0" applyFont="1" applyFill="1" applyBorder="1"/>
    <xf numFmtId="167" fontId="3" fillId="2" borderId="26" xfId="0" applyFont="1" applyFill="1" applyBorder="1" applyAlignment="1">
      <alignment horizontal="left"/>
    </xf>
    <xf numFmtId="167" fontId="3" fillId="2" borderId="27" xfId="0" applyFont="1" applyFill="1" applyBorder="1" applyAlignment="1">
      <alignment horizontal="left"/>
    </xf>
    <xf numFmtId="167" fontId="3" fillId="7" borderId="0" xfId="0" applyFont="1" applyFill="1" applyAlignment="1">
      <alignment horizontal="right"/>
    </xf>
    <xf numFmtId="174" fontId="3" fillId="7" borderId="0" xfId="0" applyNumberFormat="1" applyFont="1" applyFill="1"/>
    <xf numFmtId="164" fontId="3" fillId="7" borderId="0" xfId="0" applyNumberFormat="1" applyFont="1" applyFill="1"/>
    <xf numFmtId="167" fontId="30" fillId="7" borderId="0" xfId="0" applyFont="1" applyFill="1" applyAlignment="1">
      <alignment horizontal="left"/>
    </xf>
    <xf numFmtId="167" fontId="30" fillId="7" borderId="0" xfId="0" applyFont="1" applyFill="1" applyAlignment="1">
      <alignment horizontal="right"/>
    </xf>
    <xf numFmtId="10" fontId="24" fillId="7" borderId="0" xfId="0" applyNumberFormat="1" applyFont="1" applyFill="1" applyAlignment="1">
      <alignment horizontal="right"/>
    </xf>
    <xf numFmtId="174" fontId="3" fillId="7" borderId="0" xfId="0" applyNumberFormat="1" applyFont="1" applyFill="1" applyAlignment="1">
      <alignment horizontal="right"/>
    </xf>
    <xf numFmtId="170" fontId="3" fillId="7" borderId="0" xfId="0" applyNumberFormat="1" applyFont="1" applyFill="1" applyAlignment="1">
      <alignment horizontal="right"/>
    </xf>
    <xf numFmtId="167" fontId="24" fillId="7" borderId="0" xfId="0" applyFont="1" applyFill="1" applyAlignment="1">
      <alignment horizontal="right"/>
    </xf>
    <xf numFmtId="167" fontId="6" fillId="7" borderId="0" xfId="0" applyFont="1" applyFill="1" applyAlignment="1">
      <alignment horizontal="right"/>
    </xf>
    <xf numFmtId="167" fontId="31" fillId="7" borderId="0" xfId="0" applyFont="1" applyFill="1" applyAlignment="1">
      <alignment horizontal="right"/>
    </xf>
    <xf numFmtId="167" fontId="29" fillId="7" borderId="3" xfId="0" applyFont="1" applyFill="1" applyBorder="1" applyAlignment="1">
      <alignment horizontal="left"/>
    </xf>
    <xf numFmtId="167" fontId="3" fillId="7" borderId="7" xfId="0" applyFont="1" applyFill="1" applyBorder="1" applyAlignment="1">
      <alignment horizontal="left"/>
    </xf>
    <xf numFmtId="167" fontId="3" fillId="7" borderId="10" xfId="0" applyFont="1" applyFill="1" applyBorder="1" applyAlignment="1">
      <alignment horizontal="left"/>
    </xf>
    <xf numFmtId="167" fontId="3" fillId="7" borderId="12" xfId="0" applyFont="1" applyFill="1" applyBorder="1" applyAlignment="1">
      <alignment horizontal="left"/>
    </xf>
    <xf numFmtId="167" fontId="4" fillId="7" borderId="0" xfId="0" applyFont="1" applyFill="1" applyAlignment="1">
      <alignment horizontal="left"/>
    </xf>
    <xf numFmtId="167" fontId="19" fillId="7" borderId="0" xfId="0" applyFont="1" applyFill="1" applyAlignment="1">
      <alignment horizontal="left"/>
    </xf>
    <xf numFmtId="10" fontId="19" fillId="7" borderId="0" xfId="0" applyNumberFormat="1" applyFont="1" applyFill="1"/>
    <xf numFmtId="174" fontId="3" fillId="7" borderId="11" xfId="0" applyNumberFormat="1" applyFont="1" applyFill="1" applyBorder="1"/>
    <xf numFmtId="174" fontId="3" fillId="7" borderId="6" xfId="0" applyNumberFormat="1" applyFont="1" applyFill="1" applyBorder="1" applyAlignment="1">
      <alignment horizontal="right"/>
    </xf>
    <xf numFmtId="2" fontId="3" fillId="2" borderId="11" xfId="0" applyNumberFormat="1" applyFont="1" applyFill="1" applyBorder="1"/>
    <xf numFmtId="2" fontId="6" fillId="2" borderId="11" xfId="0" applyNumberFormat="1" applyFont="1" applyFill="1" applyBorder="1"/>
    <xf numFmtId="180" fontId="6" fillId="2" borderId="11" xfId="0" applyNumberFormat="1" applyFont="1" applyFill="1" applyBorder="1"/>
    <xf numFmtId="180" fontId="3" fillId="2" borderId="28" xfId="0" applyNumberFormat="1" applyFont="1" applyFill="1" applyBorder="1"/>
    <xf numFmtId="170" fontId="3" fillId="2" borderId="11" xfId="0" applyNumberFormat="1" applyFont="1" applyFill="1" applyBorder="1" applyAlignment="1">
      <alignment horizontal="right"/>
    </xf>
    <xf numFmtId="174" fontId="4" fillId="2" borderId="0" xfId="0" applyNumberFormat="1" applyFont="1" applyFill="1"/>
    <xf numFmtId="174" fontId="3" fillId="7" borderId="11" xfId="0" applyNumberFormat="1" applyFont="1" applyFill="1" applyBorder="1" applyAlignment="1">
      <alignment horizontal="right"/>
    </xf>
    <xf numFmtId="2" fontId="3" fillId="7" borderId="11" xfId="0" applyNumberFormat="1" applyFont="1" applyFill="1" applyBorder="1" applyAlignment="1">
      <alignment horizontal="right"/>
    </xf>
    <xf numFmtId="2" fontId="3" fillId="2" borderId="11" xfId="0" applyNumberFormat="1" applyFont="1" applyFill="1" applyBorder="1" applyAlignment="1">
      <alignment horizontal="right"/>
    </xf>
    <xf numFmtId="167" fontId="3" fillId="7" borderId="7" xfId="0" applyFont="1" applyFill="1" applyBorder="1" applyAlignment="1">
      <alignment vertical="center"/>
    </xf>
    <xf numFmtId="180" fontId="3" fillId="7" borderId="9" xfId="0" applyNumberFormat="1" applyFont="1" applyFill="1" applyBorder="1" applyAlignment="1">
      <alignment horizontal="right"/>
    </xf>
    <xf numFmtId="167" fontId="3" fillId="7" borderId="10" xfId="0" applyFont="1" applyFill="1" applyBorder="1" applyAlignment="1">
      <alignment vertical="center"/>
    </xf>
    <xf numFmtId="180" fontId="3" fillId="7" borderId="11" xfId="0" applyNumberFormat="1" applyFont="1" applyFill="1" applyBorder="1" applyAlignment="1">
      <alignment horizontal="right"/>
    </xf>
    <xf numFmtId="180" fontId="6" fillId="7" borderId="11" xfId="0" applyNumberFormat="1" applyFont="1" applyFill="1" applyBorder="1" applyAlignment="1">
      <alignment horizontal="right"/>
    </xf>
    <xf numFmtId="2" fontId="6" fillId="7" borderId="11" xfId="0" applyNumberFormat="1" applyFont="1" applyFill="1" applyBorder="1" applyAlignment="1">
      <alignment horizontal="right"/>
    </xf>
    <xf numFmtId="167" fontId="29" fillId="7" borderId="0" xfId="0" applyFont="1" applyFill="1" applyAlignment="1">
      <alignment horizontal="left"/>
    </xf>
    <xf numFmtId="167" fontId="29" fillId="7" borderId="0" xfId="0" applyFont="1" applyFill="1" applyAlignment="1">
      <alignment horizontal="right"/>
    </xf>
    <xf numFmtId="180" fontId="3" fillId="7" borderId="24" xfId="0" applyNumberFormat="1" applyFont="1" applyFill="1" applyBorder="1" applyAlignment="1">
      <alignment horizontal="right"/>
    </xf>
    <xf numFmtId="166" fontId="3" fillId="7" borderId="11" xfId="4" applyFont="1" applyFill="1" applyBorder="1" applyAlignment="1">
      <alignment horizontal="right"/>
    </xf>
    <xf numFmtId="166" fontId="29" fillId="7" borderId="4" xfId="4" applyFont="1" applyFill="1" applyBorder="1" applyAlignment="1">
      <alignment horizontal="right"/>
    </xf>
    <xf numFmtId="180" fontId="3" fillId="2" borderId="24" xfId="0" applyNumberFormat="1" applyFont="1" applyFill="1" applyBorder="1"/>
    <xf numFmtId="167" fontId="29" fillId="2" borderId="0" xfId="0" quotePrefix="1" applyFont="1" applyFill="1" applyAlignment="1">
      <alignment horizontal="left"/>
    </xf>
    <xf numFmtId="10" fontId="3" fillId="2" borderId="11" xfId="0" applyNumberFormat="1" applyFont="1" applyFill="1" applyBorder="1" applyAlignment="1">
      <alignment horizontal="right"/>
    </xf>
    <xf numFmtId="0" fontId="3" fillId="0" borderId="22" xfId="5" applyFont="1" applyBorder="1" applyAlignment="1">
      <alignment vertical="top"/>
    </xf>
    <xf numFmtId="0" fontId="3" fillId="0" borderId="16" xfId="5" applyFont="1" applyBorder="1" applyAlignment="1">
      <alignment vertical="top"/>
    </xf>
    <xf numFmtId="167" fontId="10" fillId="2" borderId="0" xfId="3" applyNumberFormat="1" applyFill="1"/>
    <xf numFmtId="167" fontId="0" fillId="0" borderId="11" xfId="0" applyBorder="1"/>
    <xf numFmtId="167" fontId="32" fillId="5" borderId="10" xfId="0" applyFont="1" applyFill="1" applyBorder="1" applyAlignment="1">
      <alignment horizontal="left"/>
    </xf>
    <xf numFmtId="167" fontId="32" fillId="5" borderId="12" xfId="0" applyFont="1" applyFill="1" applyBorder="1" applyAlignment="1">
      <alignment horizontal="left"/>
    </xf>
    <xf numFmtId="167" fontId="34" fillId="13" borderId="0" xfId="0" applyFont="1" applyFill="1"/>
    <xf numFmtId="167" fontId="32" fillId="13" borderId="0" xfId="0" applyFont="1" applyFill="1"/>
    <xf numFmtId="167" fontId="34" fillId="13" borderId="7" xfId="0" applyFont="1" applyFill="1" applyBorder="1"/>
    <xf numFmtId="167" fontId="0" fillId="0" borderId="9" xfId="0" applyBorder="1"/>
    <xf numFmtId="167" fontId="22" fillId="0" borderId="10" xfId="0" applyFont="1" applyBorder="1" applyAlignment="1">
      <alignment horizontal="left" indent="1"/>
    </xf>
    <xf numFmtId="180" fontId="0" fillId="0" borderId="11" xfId="0" applyNumberFormat="1" applyBorder="1"/>
    <xf numFmtId="167" fontId="0" fillId="0" borderId="10" xfId="0" applyBorder="1" applyAlignment="1">
      <alignment horizontal="left" indent="3"/>
    </xf>
    <xf numFmtId="180" fontId="0" fillId="9" borderId="11" xfId="0" applyNumberFormat="1" applyFill="1" applyBorder="1"/>
    <xf numFmtId="167" fontId="0" fillId="0" borderId="10" xfId="0" applyBorder="1" applyAlignment="1">
      <alignment horizontal="left" indent="2"/>
    </xf>
    <xf numFmtId="167" fontId="22" fillId="0" borderId="11" xfId="0" applyFont="1" applyBorder="1" applyAlignment="1">
      <alignment horizontal="left" indent="1"/>
    </xf>
    <xf numFmtId="167" fontId="22" fillId="0" borderId="12" xfId="0" applyFont="1" applyBorder="1" applyAlignment="1">
      <alignment horizontal="left" indent="1"/>
    </xf>
    <xf numFmtId="180" fontId="0" fillId="0" borderId="6" xfId="0" applyNumberFormat="1" applyBorder="1"/>
    <xf numFmtId="9" fontId="0" fillId="0" borderId="11" xfId="2" applyFont="1" applyBorder="1" applyAlignment="1">
      <alignment horizontal="left" indent="2"/>
    </xf>
    <xf numFmtId="167" fontId="0" fillId="0" borderId="12" xfId="0" applyBorder="1" applyAlignment="1">
      <alignment horizontal="left" indent="2"/>
    </xf>
    <xf numFmtId="9" fontId="0" fillId="0" borderId="6" xfId="2" applyFont="1" applyBorder="1" applyAlignment="1">
      <alignment horizontal="left" indent="2"/>
    </xf>
    <xf numFmtId="167" fontId="34" fillId="13" borderId="8" xfId="0" applyFont="1" applyFill="1" applyBorder="1"/>
    <xf numFmtId="167" fontId="34" fillId="13" borderId="9" xfId="0" applyFont="1" applyFill="1" applyBorder="1"/>
    <xf numFmtId="2" fontId="0" fillId="0" borderId="11" xfId="0" applyNumberFormat="1" applyBorder="1" applyAlignment="1">
      <alignment horizontal="left" indent="2"/>
    </xf>
    <xf numFmtId="2" fontId="0" fillId="0" borderId="6" xfId="0" applyNumberFormat="1" applyBorder="1" applyAlignment="1">
      <alignment horizontal="left" indent="2"/>
    </xf>
    <xf numFmtId="167" fontId="34" fillId="13" borderId="3" xfId="0" applyFont="1" applyFill="1" applyBorder="1"/>
    <xf numFmtId="172" fontId="0" fillId="0" borderId="4" xfId="2" applyNumberFormat="1" applyFont="1" applyBorder="1" applyAlignment="1">
      <alignment horizontal="left" indent="2"/>
    </xf>
    <xf numFmtId="167" fontId="0" fillId="0" borderId="4" xfId="0" applyBorder="1" applyAlignment="1">
      <alignment horizontal="left" indent="2"/>
    </xf>
    <xf numFmtId="172" fontId="0" fillId="0" borderId="11" xfId="2" applyNumberFormat="1" applyFont="1" applyBorder="1" applyAlignment="1">
      <alignment horizontal="left" indent="2"/>
    </xf>
    <xf numFmtId="172" fontId="0" fillId="0" borderId="6" xfId="2" applyNumberFormat="1" applyFont="1" applyBorder="1" applyAlignment="1">
      <alignment horizontal="left" indent="2"/>
    </xf>
    <xf numFmtId="167" fontId="0" fillId="0" borderId="9" xfId="0" applyBorder="1" applyAlignment="1">
      <alignment horizontal="left" indent="2"/>
    </xf>
    <xf numFmtId="167" fontId="0" fillId="0" borderId="11" xfId="0" applyBorder="1" applyAlignment="1">
      <alignment horizontal="left" indent="2"/>
    </xf>
    <xf numFmtId="167" fontId="0" fillId="0" borderId="6" xfId="0" applyBorder="1" applyAlignment="1">
      <alignment horizontal="left" indent="2"/>
    </xf>
    <xf numFmtId="167" fontId="0" fillId="0" borderId="8" xfId="0" applyBorder="1"/>
    <xf numFmtId="167" fontId="23" fillId="0" borderId="10" xfId="0" applyFont="1" applyBorder="1" applyAlignment="1">
      <alignment horizontal="left" indent="2"/>
    </xf>
    <xf numFmtId="167" fontId="0" fillId="0" borderId="10" xfId="0" applyBorder="1"/>
    <xf numFmtId="167" fontId="0" fillId="0" borderId="14" xfId="0" applyBorder="1"/>
    <xf numFmtId="167" fontId="0" fillId="0" borderId="4" xfId="0" applyBorder="1"/>
    <xf numFmtId="167" fontId="23" fillId="0" borderId="8" xfId="0" applyFont="1" applyBorder="1"/>
    <xf numFmtId="167" fontId="33" fillId="5" borderId="9" xfId="0" applyFont="1" applyFill="1" applyBorder="1"/>
    <xf numFmtId="167" fontId="23" fillId="0" borderId="12" xfId="0" applyFont="1" applyBorder="1" applyAlignment="1">
      <alignment horizontal="left" indent="2"/>
    </xf>
    <xf numFmtId="2" fontId="29" fillId="12" borderId="4" xfId="0" applyNumberFormat="1" applyFont="1" applyFill="1" applyBorder="1" applyAlignment="1">
      <alignment horizontal="right"/>
    </xf>
    <xf numFmtId="2" fontId="29" fillId="7" borderId="4" xfId="0" applyNumberFormat="1" applyFont="1" applyFill="1" applyBorder="1" applyAlignment="1">
      <alignment horizontal="right"/>
    </xf>
    <xf numFmtId="167" fontId="4" fillId="6" borderId="7" xfId="0" applyFont="1" applyFill="1" applyBorder="1" applyProtection="1"/>
    <xf numFmtId="167" fontId="4" fillId="6" borderId="10" xfId="0" applyFont="1" applyFill="1" applyBorder="1" applyAlignment="1" applyProtection="1">
      <alignment horizontal="left"/>
    </xf>
    <xf numFmtId="167" fontId="4" fillId="6" borderId="10" xfId="0" applyFont="1" applyFill="1" applyBorder="1" applyProtection="1"/>
    <xf numFmtId="167" fontId="4" fillId="6" borderId="10" xfId="0" quotePrefix="1" applyFont="1" applyFill="1" applyBorder="1" applyAlignment="1" applyProtection="1">
      <alignment horizontal="left"/>
    </xf>
    <xf numFmtId="167" fontId="4" fillId="6" borderId="12" xfId="0" quotePrefix="1" applyFont="1" applyFill="1" applyBorder="1" applyAlignment="1" applyProtection="1">
      <alignment horizontal="left"/>
    </xf>
    <xf numFmtId="167" fontId="4" fillId="6" borderId="7" xfId="0" applyFont="1" applyFill="1" applyBorder="1" applyAlignment="1">
      <alignment horizontal="left"/>
    </xf>
    <xf numFmtId="167" fontId="29" fillId="6" borderId="7" xfId="0" applyFont="1" applyFill="1" applyBorder="1" applyAlignment="1">
      <alignment vertical="center"/>
    </xf>
    <xf numFmtId="167" fontId="4" fillId="6" borderId="10" xfId="0" applyFont="1" applyFill="1" applyBorder="1" applyAlignment="1">
      <alignment vertical="center"/>
    </xf>
    <xf numFmtId="167" fontId="4" fillId="6" borderId="7" xfId="0" applyFont="1" applyFill="1" applyBorder="1" applyAlignment="1">
      <alignment vertical="center"/>
    </xf>
    <xf numFmtId="167" fontId="10" fillId="0" borderId="0" xfId="3" applyNumberFormat="1" applyProtection="1">
      <protection locked="0"/>
    </xf>
    <xf numFmtId="167" fontId="0" fillId="0" borderId="0" xfId="0" applyFont="1"/>
    <xf numFmtId="180" fontId="0" fillId="0" borderId="0" xfId="0" applyNumberFormat="1" applyFont="1"/>
    <xf numFmtId="0" fontId="3" fillId="0" borderId="30" xfId="5" applyFont="1" applyBorder="1" applyAlignment="1">
      <alignment vertical="top"/>
    </xf>
    <xf numFmtId="185" fontId="3" fillId="0" borderId="25" xfId="5" applyNumberFormat="1" applyFont="1" applyBorder="1" applyAlignment="1">
      <alignment vertical="top"/>
    </xf>
    <xf numFmtId="0" fontId="3" fillId="0" borderId="25" xfId="5" applyFont="1" applyBorder="1" applyAlignment="1">
      <alignment vertical="top"/>
    </xf>
    <xf numFmtId="167" fontId="0" fillId="5" borderId="11" xfId="0" applyFont="1" applyFill="1" applyBorder="1"/>
    <xf numFmtId="167" fontId="0" fillId="5" borderId="6" xfId="0" applyFont="1" applyFill="1" applyBorder="1"/>
    <xf numFmtId="167" fontId="21" fillId="13" borderId="0" xfId="0" applyFont="1" applyFill="1"/>
    <xf numFmtId="167" fontId="0" fillId="13" borderId="0" xfId="0" applyFont="1" applyFill="1"/>
    <xf numFmtId="180" fontId="0" fillId="13" borderId="0" xfId="0" applyNumberFormat="1" applyFont="1" applyFill="1"/>
    <xf numFmtId="167" fontId="9" fillId="10" borderId="22" xfId="0" applyFont="1" applyFill="1" applyBorder="1"/>
    <xf numFmtId="167" fontId="9" fillId="10" borderId="23" xfId="0" applyFont="1" applyFill="1" applyBorder="1"/>
    <xf numFmtId="180" fontId="9" fillId="10" borderId="18" xfId="0" applyNumberFormat="1" applyFont="1" applyFill="1" applyBorder="1" applyAlignment="1">
      <alignment horizontal="center"/>
    </xf>
    <xf numFmtId="167" fontId="9" fillId="10" borderId="16" xfId="0" applyFont="1" applyFill="1" applyBorder="1"/>
    <xf numFmtId="167" fontId="9" fillId="10" borderId="2" xfId="0" applyFont="1" applyFill="1" applyBorder="1"/>
    <xf numFmtId="180" fontId="9" fillId="10" borderId="17" xfId="0" applyNumberFormat="1" applyFont="1" applyFill="1" applyBorder="1" applyAlignment="1">
      <alignment horizontal="center"/>
    </xf>
    <xf numFmtId="174" fontId="9" fillId="10" borderId="16" xfId="0" applyNumberFormat="1" applyFont="1" applyFill="1" applyBorder="1"/>
    <xf numFmtId="167" fontId="9" fillId="4" borderId="2" xfId="0" applyFont="1" applyFill="1" applyBorder="1"/>
    <xf numFmtId="180" fontId="9" fillId="4" borderId="18" xfId="0" applyNumberFormat="1" applyFont="1" applyFill="1" applyBorder="1" applyAlignment="1">
      <alignment horizontal="center"/>
    </xf>
    <xf numFmtId="180" fontId="9" fillId="4" borderId="17" xfId="0" applyNumberFormat="1" applyFont="1" applyFill="1" applyBorder="1" applyAlignment="1">
      <alignment horizontal="center"/>
    </xf>
    <xf numFmtId="167" fontId="9" fillId="3" borderId="16" xfId="0" applyFont="1" applyFill="1" applyBorder="1"/>
    <xf numFmtId="167" fontId="9" fillId="3" borderId="2" xfId="0" applyFont="1" applyFill="1" applyBorder="1"/>
    <xf numFmtId="180" fontId="9" fillId="3" borderId="18" xfId="0" applyNumberFormat="1" applyFont="1" applyFill="1" applyBorder="1" applyAlignment="1">
      <alignment horizontal="center"/>
    </xf>
    <xf numFmtId="180" fontId="9" fillId="3" borderId="17" xfId="0" applyNumberFormat="1" applyFont="1" applyFill="1" applyBorder="1" applyAlignment="1">
      <alignment horizontal="center"/>
    </xf>
    <xf numFmtId="174" fontId="9" fillId="11" borderId="16" xfId="0" applyNumberFormat="1" applyFont="1" applyFill="1" applyBorder="1"/>
    <xf numFmtId="167" fontId="9" fillId="11" borderId="2" xfId="0" applyFont="1" applyFill="1" applyBorder="1"/>
    <xf numFmtId="180" fontId="9" fillId="11" borderId="17" xfId="0" applyNumberFormat="1" applyFont="1" applyFill="1" applyBorder="1" applyAlignment="1">
      <alignment horizontal="center"/>
    </xf>
    <xf numFmtId="167" fontId="9" fillId="11" borderId="16" xfId="0" applyFont="1" applyFill="1" applyBorder="1"/>
    <xf numFmtId="180" fontId="9" fillId="11" borderId="18" xfId="0" applyNumberFormat="1" applyFont="1" applyFill="1" applyBorder="1" applyAlignment="1">
      <alignment horizontal="center"/>
    </xf>
    <xf numFmtId="167" fontId="9" fillId="11" borderId="29" xfId="0" applyFont="1" applyFill="1" applyBorder="1"/>
    <xf numFmtId="167" fontId="9" fillId="11" borderId="31" xfId="0" applyFont="1" applyFill="1" applyBorder="1"/>
    <xf numFmtId="180" fontId="9" fillId="11" borderId="32" xfId="0" applyNumberFormat="1" applyFont="1" applyFill="1" applyBorder="1" applyAlignment="1">
      <alignment horizontal="center"/>
    </xf>
    <xf numFmtId="167" fontId="0" fillId="14" borderId="2" xfId="0" applyFont="1" applyFill="1" applyBorder="1" applyAlignment="1">
      <alignment horizontal="left" indent="2"/>
    </xf>
    <xf numFmtId="167" fontId="0" fillId="14" borderId="2" xfId="0" applyFont="1" applyFill="1" applyBorder="1"/>
    <xf numFmtId="167" fontId="9" fillId="14" borderId="2" xfId="0" applyFont="1" applyFill="1" applyBorder="1"/>
    <xf numFmtId="180" fontId="0" fillId="14" borderId="2" xfId="0" applyNumberFormat="1" applyFont="1" applyFill="1" applyBorder="1"/>
    <xf numFmtId="167" fontId="0" fillId="6" borderId="2" xfId="0" applyFont="1" applyFill="1" applyBorder="1" applyAlignment="1">
      <alignment horizontal="left" indent="2"/>
    </xf>
    <xf numFmtId="167" fontId="0" fillId="6" borderId="2" xfId="0" applyFont="1" applyFill="1" applyBorder="1"/>
    <xf numFmtId="167" fontId="9" fillId="6" borderId="2" xfId="0" applyFont="1" applyFill="1" applyBorder="1"/>
    <xf numFmtId="180" fontId="0" fillId="6" borderId="2" xfId="0" applyNumberFormat="1" applyFont="1" applyFill="1" applyBorder="1"/>
    <xf numFmtId="167" fontId="0" fillId="0" borderId="10" xfId="0" applyFont="1" applyBorder="1" applyAlignment="1">
      <alignment horizontal="left" indent="2"/>
    </xf>
    <xf numFmtId="167" fontId="3" fillId="7" borderId="12" xfId="0" applyFont="1" applyFill="1" applyBorder="1" applyAlignment="1">
      <alignment vertical="center"/>
    </xf>
    <xf numFmtId="180" fontId="3" fillId="7" borderId="6" xfId="0" applyNumberFormat="1" applyFont="1" applyFill="1" applyBorder="1" applyAlignment="1">
      <alignment horizontal="right"/>
    </xf>
    <xf numFmtId="167" fontId="3" fillId="7" borderId="11" xfId="0" applyFont="1" applyFill="1" applyBorder="1"/>
    <xf numFmtId="167" fontId="40" fillId="0" borderId="33" xfId="0" applyFont="1" applyBorder="1" applyAlignment="1">
      <alignment vertical="center" wrapText="1"/>
    </xf>
    <xf numFmtId="167" fontId="40" fillId="0" borderId="34" xfId="0" applyFont="1" applyBorder="1" applyAlignment="1">
      <alignment vertical="center" wrapText="1"/>
    </xf>
    <xf numFmtId="2" fontId="3" fillId="2" borderId="11" xfId="0" applyNumberFormat="1" applyFont="1" applyFill="1" applyBorder="1" applyAlignment="1">
      <alignment horizontal="right" indent="1"/>
    </xf>
    <xf numFmtId="174" fontId="3" fillId="0" borderId="11" xfId="0" applyNumberFormat="1" applyFont="1" applyBorder="1" applyAlignment="1">
      <alignment horizontal="right"/>
    </xf>
    <xf numFmtId="180" fontId="6" fillId="2" borderId="11" xfId="0" applyNumberFormat="1" applyFont="1" applyFill="1" applyBorder="1" applyAlignment="1">
      <alignment horizontal="right"/>
    </xf>
    <xf numFmtId="2" fontId="6" fillId="2" borderId="11" xfId="0" applyNumberFormat="1" applyFont="1" applyFill="1" applyBorder="1" applyAlignment="1">
      <alignment horizontal="right"/>
    </xf>
    <xf numFmtId="164" fontId="4" fillId="2" borderId="4" xfId="0" applyNumberFormat="1" applyFont="1" applyFill="1" applyBorder="1" applyAlignment="1">
      <alignment horizontal="right"/>
    </xf>
    <xf numFmtId="174" fontId="3" fillId="2" borderId="0" xfId="0" applyNumberFormat="1" applyFont="1" applyFill="1" applyAlignment="1">
      <alignment horizontal="right"/>
    </xf>
    <xf numFmtId="169" fontId="3" fillId="2" borderId="0" xfId="0" applyNumberFormat="1" applyFont="1" applyFill="1" applyAlignment="1">
      <alignment horizontal="right"/>
    </xf>
    <xf numFmtId="176" fontId="3" fillId="2" borderId="0" xfId="0" applyNumberFormat="1" applyFont="1" applyFill="1" applyAlignment="1">
      <alignment horizontal="right"/>
    </xf>
    <xf numFmtId="174" fontId="28" fillId="2" borderId="0" xfId="0" applyNumberFormat="1" applyFont="1" applyFill="1" applyAlignment="1" applyProtection="1">
      <alignment horizontal="right"/>
      <protection locked="0"/>
    </xf>
    <xf numFmtId="176" fontId="28" fillId="2" borderId="0" xfId="0" applyNumberFormat="1" applyFont="1" applyFill="1" applyAlignment="1" applyProtection="1">
      <alignment horizontal="right"/>
      <protection locked="0"/>
    </xf>
    <xf numFmtId="164" fontId="3" fillId="2" borderId="0" xfId="0" applyNumberFormat="1" applyFont="1" applyFill="1" applyAlignment="1">
      <alignment horizontal="right"/>
    </xf>
    <xf numFmtId="165" fontId="3" fillId="2" borderId="0" xfId="1" applyFont="1" applyFill="1" applyAlignment="1">
      <alignment horizontal="right"/>
    </xf>
    <xf numFmtId="165" fontId="3" fillId="2" borderId="1" xfId="1" applyFont="1" applyFill="1" applyBorder="1" applyAlignment="1">
      <alignment horizontal="right"/>
    </xf>
    <xf numFmtId="174" fontId="3" fillId="2" borderId="11" xfId="0" applyNumberFormat="1" applyFont="1" applyFill="1" applyBorder="1" applyAlignment="1" applyProtection="1">
      <alignment horizontal="right"/>
      <protection locked="0"/>
    </xf>
    <xf numFmtId="180" fontId="3" fillId="2" borderId="11" xfId="0" applyNumberFormat="1" applyFont="1" applyFill="1" applyBorder="1" applyProtection="1">
      <protection locked="0"/>
    </xf>
    <xf numFmtId="167" fontId="3" fillId="2" borderId="0" xfId="0" applyFont="1" applyFill="1" applyBorder="1"/>
    <xf numFmtId="167" fontId="3" fillId="2" borderId="3" xfId="0" applyFont="1" applyFill="1" applyBorder="1" applyAlignment="1">
      <alignment horizontal="left"/>
    </xf>
    <xf numFmtId="168" fontId="6" fillId="0" borderId="14" xfId="0" applyNumberFormat="1" applyFont="1" applyBorder="1"/>
    <xf numFmtId="167" fontId="3" fillId="2" borderId="10" xfId="0" applyFont="1" applyFill="1" applyBorder="1" applyAlignment="1" applyProtection="1">
      <protection locked="0"/>
    </xf>
    <xf numFmtId="167" fontId="3" fillId="2" borderId="0" xfId="0" applyFont="1" applyFill="1" applyBorder="1" applyAlignment="1" applyProtection="1">
      <protection locked="0"/>
    </xf>
    <xf numFmtId="167" fontId="3" fillId="2" borderId="11" xfId="0" applyFont="1" applyFill="1" applyBorder="1" applyAlignment="1" applyProtection="1">
      <protection locked="0"/>
    </xf>
    <xf numFmtId="167" fontId="3" fillId="2" borderId="12" xfId="0" applyFont="1" applyFill="1" applyBorder="1" applyAlignment="1" applyProtection="1">
      <protection locked="0"/>
    </xf>
    <xf numFmtId="167" fontId="3" fillId="2" borderId="13" xfId="0" applyFont="1" applyFill="1" applyBorder="1" applyAlignment="1" applyProtection="1">
      <protection locked="0"/>
    </xf>
    <xf numFmtId="167" fontId="3" fillId="2" borderId="6" xfId="0" applyFont="1" applyFill="1" applyBorder="1" applyAlignment="1" applyProtection="1">
      <protection locked="0"/>
    </xf>
    <xf numFmtId="167" fontId="3" fillId="2" borderId="7" xfId="0" applyFont="1" applyFill="1" applyBorder="1" applyAlignment="1" applyProtection="1">
      <protection locked="0"/>
    </xf>
    <xf numFmtId="167" fontId="3" fillId="2" borderId="8" xfId="0" applyFont="1" applyFill="1" applyBorder="1" applyAlignment="1" applyProtection="1">
      <protection locked="0"/>
    </xf>
    <xf numFmtId="167" fontId="3" fillId="2" borderId="9" xfId="0" applyFont="1" applyFill="1" applyBorder="1" applyAlignment="1" applyProtection="1">
      <protection locked="0"/>
    </xf>
    <xf numFmtId="192" fontId="3" fillId="2" borderId="0" xfId="0" applyNumberFormat="1" applyFont="1" applyFill="1"/>
    <xf numFmtId="167" fontId="3" fillId="0" borderId="10" xfId="0" applyFont="1" applyFill="1" applyBorder="1" applyAlignment="1">
      <alignment horizontal="right"/>
    </xf>
    <xf numFmtId="164" fontId="3" fillId="0" borderId="11" xfId="0" applyNumberFormat="1" applyFont="1" applyFill="1" applyBorder="1" applyAlignment="1">
      <alignment horizontal="right"/>
    </xf>
    <xf numFmtId="175" fontId="3" fillId="0" borderId="11" xfId="0" applyNumberFormat="1" applyFont="1" applyFill="1" applyBorder="1" applyAlignment="1">
      <alignment horizontal="right"/>
    </xf>
    <xf numFmtId="164" fontId="3" fillId="0" borderId="15" xfId="0" applyNumberFormat="1" applyFont="1" applyFill="1" applyBorder="1" applyAlignment="1">
      <alignment horizontal="right"/>
    </xf>
    <xf numFmtId="167" fontId="3" fillId="0" borderId="10" xfId="0" applyFont="1" applyFill="1" applyBorder="1" applyAlignment="1">
      <alignment horizontal="left"/>
    </xf>
    <xf numFmtId="179" fontId="3" fillId="0" borderId="11" xfId="0" applyNumberFormat="1" applyFont="1" applyFill="1" applyBorder="1" applyAlignment="1">
      <alignment horizontal="right"/>
    </xf>
    <xf numFmtId="167" fontId="16" fillId="0" borderId="3" xfId="0" applyFont="1" applyFill="1" applyBorder="1" applyAlignment="1">
      <alignment horizontal="left"/>
    </xf>
    <xf numFmtId="179" fontId="16" fillId="0" borderId="4" xfId="0" applyNumberFormat="1" applyFont="1" applyFill="1" applyBorder="1" applyAlignment="1">
      <alignment horizontal="right"/>
    </xf>
    <xf numFmtId="174" fontId="3" fillId="2" borderId="0" xfId="0" applyNumberFormat="1" applyFont="1" applyFill="1" applyBorder="1" applyAlignment="1">
      <alignment horizontal="right" indent="1"/>
    </xf>
    <xf numFmtId="174" fontId="3" fillId="2" borderId="0" xfId="0" applyNumberFormat="1" applyFont="1" applyFill="1" applyBorder="1" applyAlignment="1">
      <alignment horizontal="right" vertical="top" indent="1"/>
    </xf>
    <xf numFmtId="165" fontId="3" fillId="2" borderId="0" xfId="1" applyFont="1" applyFill="1" applyBorder="1" applyAlignment="1">
      <alignment horizontal="right"/>
    </xf>
    <xf numFmtId="4" fontId="4" fillId="0" borderId="0" xfId="0" applyNumberFormat="1" applyFont="1" applyFill="1" applyBorder="1" applyAlignment="1" applyProtection="1">
      <alignment horizontal="right"/>
      <protection locked="0"/>
    </xf>
    <xf numFmtId="173" fontId="4" fillId="0" borderId="0" xfId="0" applyNumberFormat="1" applyFont="1" applyFill="1" applyBorder="1" applyAlignment="1" applyProtection="1">
      <alignment horizontal="right"/>
      <protection locked="0"/>
    </xf>
    <xf numFmtId="170" fontId="4" fillId="0" borderId="0" xfId="0" applyNumberFormat="1" applyFont="1" applyFill="1" applyBorder="1" applyAlignment="1" applyProtection="1">
      <alignment horizontal="right"/>
      <protection locked="0"/>
    </xf>
    <xf numFmtId="167" fontId="4" fillId="0" borderId="0" xfId="0" applyFont="1" applyFill="1" applyBorder="1" applyAlignment="1" applyProtection="1">
      <alignment horizontal="right"/>
      <protection locked="0"/>
    </xf>
    <xf numFmtId="171" fontId="4" fillId="0" borderId="0" xfId="0" applyNumberFormat="1" applyFont="1" applyFill="1" applyBorder="1" applyAlignment="1" applyProtection="1">
      <alignment horizontal="right"/>
      <protection locked="0"/>
    </xf>
    <xf numFmtId="10" fontId="3" fillId="2" borderId="11" xfId="2" applyNumberFormat="1" applyFont="1" applyFill="1" applyBorder="1" applyAlignment="1">
      <alignment horizontal="right" indent="1"/>
    </xf>
    <xf numFmtId="194" fontId="3" fillId="2" borderId="0" xfId="4" applyNumberFormat="1" applyFont="1" applyFill="1"/>
    <xf numFmtId="194" fontId="3" fillId="2" borderId="2" xfId="4" applyNumberFormat="1" applyFont="1" applyFill="1" applyBorder="1"/>
    <xf numFmtId="10" fontId="3" fillId="2" borderId="35" xfId="2" applyNumberFormat="1" applyFont="1" applyFill="1" applyBorder="1"/>
    <xf numFmtId="167" fontId="16" fillId="2" borderId="3" xfId="0" applyFont="1" applyFill="1" applyBorder="1"/>
    <xf numFmtId="4" fontId="16" fillId="2" borderId="4" xfId="0" applyNumberFormat="1" applyFont="1" applyFill="1" applyBorder="1"/>
    <xf numFmtId="167" fontId="3" fillId="2" borderId="0" xfId="0" applyFont="1" applyFill="1" applyBorder="1" applyAlignment="1">
      <alignment horizontal="right"/>
    </xf>
    <xf numFmtId="164" fontId="3" fillId="2" borderId="0" xfId="0" applyNumberFormat="1" applyFont="1" applyFill="1" applyBorder="1" applyAlignment="1">
      <alignment horizontal="right"/>
    </xf>
    <xf numFmtId="174" fontId="3" fillId="2" borderId="0" xfId="0" applyNumberFormat="1" applyFont="1" applyFill="1" applyBorder="1" applyAlignment="1">
      <alignment horizontal="right"/>
    </xf>
    <xf numFmtId="174" fontId="3" fillId="2" borderId="0" xfId="0" applyNumberFormat="1" applyFont="1" applyFill="1" applyBorder="1" applyAlignment="1" applyProtection="1">
      <alignment horizontal="right"/>
      <protection locked="0"/>
    </xf>
    <xf numFmtId="174" fontId="6" fillId="2" borderId="0" xfId="0" applyNumberFormat="1" applyFont="1" applyFill="1" applyBorder="1" applyAlignment="1">
      <alignment horizontal="right"/>
    </xf>
    <xf numFmtId="176" fontId="3" fillId="2" borderId="0" xfId="0" applyNumberFormat="1" applyFont="1" applyFill="1" applyBorder="1" applyAlignment="1">
      <alignment horizontal="right"/>
    </xf>
    <xf numFmtId="176" fontId="3" fillId="2" borderId="0" xfId="0" applyNumberFormat="1" applyFont="1" applyFill="1" applyBorder="1"/>
    <xf numFmtId="167" fontId="6" fillId="2" borderId="0" xfId="0" applyFont="1" applyFill="1" applyBorder="1" applyAlignment="1">
      <alignment horizontal="right"/>
    </xf>
    <xf numFmtId="189" fontId="3" fillId="2" borderId="0" xfId="0" applyNumberFormat="1" applyFont="1" applyFill="1" applyBorder="1" applyAlignment="1">
      <alignment horizontal="right"/>
    </xf>
    <xf numFmtId="175" fontId="3" fillId="0" borderId="0" xfId="0" applyNumberFormat="1" applyFont="1" applyBorder="1" applyAlignment="1">
      <alignment horizontal="right"/>
    </xf>
    <xf numFmtId="179" fontId="3" fillId="2" borderId="0" xfId="0" applyNumberFormat="1" applyFont="1" applyFill="1" applyBorder="1" applyAlignment="1">
      <alignment horizontal="right"/>
    </xf>
    <xf numFmtId="179" fontId="16" fillId="2" borderId="0" xfId="0" applyNumberFormat="1" applyFont="1" applyFill="1" applyBorder="1" applyAlignment="1">
      <alignment horizontal="right"/>
    </xf>
    <xf numFmtId="167" fontId="3" fillId="7" borderId="10" xfId="0" applyFont="1" applyFill="1" applyBorder="1" applyAlignment="1">
      <alignment horizontal="right"/>
    </xf>
    <xf numFmtId="189" fontId="3" fillId="7" borderId="11" xfId="0" applyNumberFormat="1" applyFont="1" applyFill="1" applyBorder="1" applyAlignment="1">
      <alignment horizontal="right"/>
    </xf>
    <xf numFmtId="175" fontId="3" fillId="7" borderId="11" xfId="0" applyNumberFormat="1" applyFont="1" applyFill="1" applyBorder="1" applyAlignment="1">
      <alignment horizontal="right"/>
    </xf>
    <xf numFmtId="164" fontId="3" fillId="7" borderId="15" xfId="0" applyNumberFormat="1" applyFont="1" applyFill="1" applyBorder="1" applyAlignment="1">
      <alignment horizontal="right"/>
    </xf>
    <xf numFmtId="167" fontId="4" fillId="2" borderId="3" xfId="0" applyFont="1" applyFill="1" applyBorder="1"/>
    <xf numFmtId="164" fontId="4" fillId="2" borderId="4" xfId="0" applyNumberFormat="1" applyFont="1" applyFill="1" applyBorder="1"/>
    <xf numFmtId="180" fontId="3" fillId="2" borderId="0" xfId="0" applyNumberFormat="1" applyFont="1" applyFill="1" applyBorder="1"/>
    <xf numFmtId="180" fontId="3" fillId="2" borderId="0" xfId="0" applyNumberFormat="1" applyFont="1" applyFill="1" applyBorder="1" applyProtection="1">
      <protection locked="0"/>
    </xf>
    <xf numFmtId="180" fontId="6" fillId="2" borderId="0" xfId="0" applyNumberFormat="1" applyFont="1" applyFill="1" applyBorder="1"/>
    <xf numFmtId="180" fontId="3" fillId="2" borderId="0" xfId="0" applyNumberFormat="1" applyFont="1" applyFill="1" applyBorder="1" applyAlignment="1">
      <alignment horizontal="right"/>
    </xf>
    <xf numFmtId="180" fontId="6" fillId="2" borderId="0" xfId="0" applyNumberFormat="1" applyFont="1" applyFill="1" applyBorder="1" applyAlignment="1">
      <alignment horizontal="right"/>
    </xf>
    <xf numFmtId="2" fontId="6" fillId="2" borderId="0" xfId="0" applyNumberFormat="1" applyFont="1" applyFill="1" applyBorder="1" applyAlignment="1">
      <alignment horizontal="right"/>
    </xf>
    <xf numFmtId="2" fontId="3" fillId="2" borderId="0" xfId="0" applyNumberFormat="1" applyFont="1" applyFill="1" applyBorder="1" applyAlignment="1">
      <alignment horizontal="right"/>
    </xf>
    <xf numFmtId="167" fontId="4" fillId="7" borderId="3" xfId="0" applyFont="1" applyFill="1" applyBorder="1" applyAlignment="1">
      <alignment horizontal="left"/>
    </xf>
    <xf numFmtId="164" fontId="4" fillId="7" borderId="4" xfId="0" applyNumberFormat="1" applyFont="1" applyFill="1" applyBorder="1"/>
    <xf numFmtId="174" fontId="3" fillId="2" borderId="0" xfId="0" applyNumberFormat="1" applyFont="1" applyFill="1" applyBorder="1"/>
    <xf numFmtId="174" fontId="3" fillId="7" borderId="0" xfId="0" applyNumberFormat="1" applyFont="1" applyFill="1" applyBorder="1"/>
    <xf numFmtId="170" fontId="3" fillId="2" borderId="0" xfId="0" applyNumberFormat="1" applyFont="1" applyFill="1" applyBorder="1"/>
    <xf numFmtId="2" fontId="3" fillId="7" borderId="0" xfId="0" applyNumberFormat="1" applyFont="1" applyFill="1" applyBorder="1" applyAlignment="1">
      <alignment horizontal="right"/>
    </xf>
    <xf numFmtId="10" fontId="3" fillId="2" borderId="0" xfId="0" applyNumberFormat="1" applyFont="1" applyFill="1" applyBorder="1"/>
    <xf numFmtId="174" fontId="3" fillId="7" borderId="0" xfId="0" applyNumberFormat="1" applyFont="1" applyFill="1" applyBorder="1" applyAlignment="1">
      <alignment horizontal="right"/>
    </xf>
    <xf numFmtId="193" fontId="3" fillId="2" borderId="9" xfId="4" applyNumberFormat="1" applyFont="1" applyFill="1" applyBorder="1"/>
    <xf numFmtId="193" fontId="3" fillId="0" borderId="11" xfId="4" applyNumberFormat="1" applyFont="1" applyFill="1" applyBorder="1" applyAlignment="1">
      <alignment horizontal="right"/>
    </xf>
    <xf numFmtId="193" fontId="3" fillId="2" borderId="11" xfId="4" applyNumberFormat="1" applyFont="1" applyFill="1" applyBorder="1" applyAlignment="1">
      <alignment horizontal="right"/>
    </xf>
    <xf numFmtId="193" fontId="3" fillId="2" borderId="6" xfId="4" applyNumberFormat="1" applyFont="1" applyFill="1" applyBorder="1" applyAlignment="1">
      <alignment horizontal="right"/>
    </xf>
    <xf numFmtId="10" fontId="3" fillId="2" borderId="11" xfId="2" applyNumberFormat="1" applyFont="1" applyFill="1" applyBorder="1" applyAlignment="1">
      <alignment horizontal="right"/>
    </xf>
    <xf numFmtId="193" fontId="3" fillId="2" borderId="6" xfId="4" applyNumberFormat="1" applyFont="1" applyFill="1" applyBorder="1" applyAlignment="1">
      <alignment horizontal="right" indent="1"/>
    </xf>
    <xf numFmtId="193" fontId="3" fillId="2" borderId="6" xfId="4" applyNumberFormat="1" applyFont="1" applyFill="1" applyBorder="1"/>
    <xf numFmtId="193" fontId="3" fillId="2" borderId="11" xfId="4" applyNumberFormat="1" applyFont="1" applyFill="1" applyBorder="1" applyAlignment="1">
      <alignment horizontal="right" indent="1"/>
    </xf>
    <xf numFmtId="194" fontId="3" fillId="2" borderId="11" xfId="4" applyNumberFormat="1" applyFont="1" applyFill="1" applyBorder="1" applyAlignment="1">
      <alignment horizontal="right" indent="1"/>
    </xf>
    <xf numFmtId="194" fontId="3" fillId="2" borderId="11" xfId="4" applyNumberFormat="1" applyFont="1" applyFill="1" applyBorder="1" applyAlignment="1">
      <alignment horizontal="right" vertical="top" indent="1"/>
    </xf>
    <xf numFmtId="194" fontId="3" fillId="2" borderId="6" xfId="4" applyNumberFormat="1" applyFont="1" applyFill="1" applyBorder="1" applyAlignment="1">
      <alignment horizontal="right" indent="1"/>
    </xf>
    <xf numFmtId="193" fontId="3" fillId="2" borderId="11" xfId="4" applyNumberFormat="1" applyFont="1" applyFill="1" applyBorder="1"/>
    <xf numFmtId="193" fontId="3" fillId="7" borderId="11" xfId="4" applyNumberFormat="1" applyFont="1" applyFill="1" applyBorder="1"/>
    <xf numFmtId="193" fontId="3" fillId="7" borderId="11" xfId="4" applyNumberFormat="1" applyFont="1" applyFill="1" applyBorder="1" applyAlignment="1">
      <alignment horizontal="right"/>
    </xf>
    <xf numFmtId="193" fontId="3" fillId="7" borderId="6" xfId="4" applyNumberFormat="1" applyFont="1" applyFill="1" applyBorder="1" applyAlignment="1">
      <alignment horizontal="right"/>
    </xf>
    <xf numFmtId="10" fontId="3" fillId="2" borderId="11" xfId="2" applyNumberFormat="1" applyFont="1" applyFill="1" applyBorder="1"/>
    <xf numFmtId="180" fontId="3" fillId="7" borderId="0" xfId="0" applyNumberFormat="1" applyFont="1" applyFill="1" applyBorder="1" applyAlignment="1">
      <alignment horizontal="right"/>
    </xf>
    <xf numFmtId="180" fontId="6" fillId="7" borderId="0" xfId="0" applyNumberFormat="1" applyFont="1" applyFill="1" applyBorder="1" applyAlignment="1">
      <alignment horizontal="right"/>
    </xf>
    <xf numFmtId="191" fontId="3" fillId="7" borderId="0" xfId="0" applyNumberFormat="1" applyFont="1" applyFill="1" applyBorder="1" applyAlignment="1">
      <alignment horizontal="right"/>
    </xf>
    <xf numFmtId="2" fontId="6" fillId="7" borderId="0" xfId="0" applyNumberFormat="1" applyFont="1" applyFill="1" applyBorder="1" applyAlignment="1">
      <alignment horizontal="right"/>
    </xf>
    <xf numFmtId="164" fontId="4" fillId="2" borderId="0" xfId="0" applyNumberFormat="1" applyFont="1" applyFill="1" applyBorder="1" applyAlignment="1">
      <alignment horizontal="right"/>
    </xf>
    <xf numFmtId="178" fontId="4" fillId="7" borderId="4" xfId="0" applyNumberFormat="1" applyFont="1" applyFill="1" applyBorder="1"/>
    <xf numFmtId="165" fontId="4" fillId="7" borderId="4" xfId="1" applyFont="1" applyFill="1" applyBorder="1"/>
    <xf numFmtId="193" fontId="3" fillId="2" borderId="11" xfId="4" applyNumberFormat="1" applyFont="1" applyFill="1" applyBorder="1" applyAlignment="1">
      <alignment horizontal="right" vertical="top"/>
    </xf>
    <xf numFmtId="193" fontId="3" fillId="2" borderId="9" xfId="4" applyNumberFormat="1" applyFont="1" applyFill="1" applyBorder="1" applyAlignment="1" applyProtection="1">
      <alignment horizontal="right"/>
      <protection locked="0"/>
    </xf>
    <xf numFmtId="165" fontId="4" fillId="2" borderId="4" xfId="1" applyFont="1" applyFill="1" applyBorder="1"/>
    <xf numFmtId="184" fontId="4" fillId="6" borderId="36" xfId="0" applyNumberFormat="1" applyFont="1" applyFill="1" applyBorder="1" applyAlignment="1" applyProtection="1">
      <alignment horizontal="right"/>
      <protection locked="0"/>
    </xf>
    <xf numFmtId="2" fontId="4" fillId="6" borderId="37" xfId="0" applyNumberFormat="1" applyFont="1" applyFill="1" applyBorder="1" applyAlignment="1" applyProtection="1">
      <alignment horizontal="right"/>
      <protection locked="0"/>
    </xf>
    <xf numFmtId="166" fontId="4" fillId="6" borderId="37" xfId="4" applyFont="1" applyFill="1" applyBorder="1" applyAlignment="1" applyProtection="1">
      <alignment horizontal="right"/>
      <protection locked="0"/>
    </xf>
    <xf numFmtId="173" fontId="4" fillId="6" borderId="37" xfId="0" applyNumberFormat="1" applyFont="1" applyFill="1" applyBorder="1" applyAlignment="1" applyProtection="1">
      <alignment horizontal="right"/>
      <protection locked="0"/>
    </xf>
    <xf numFmtId="170" fontId="4" fillId="6" borderId="37" xfId="0" applyNumberFormat="1" applyFont="1" applyFill="1" applyBorder="1" applyAlignment="1" applyProtection="1">
      <alignment horizontal="right"/>
      <protection locked="0"/>
    </xf>
    <xf numFmtId="167" fontId="4" fillId="6" borderId="37" xfId="0" applyFont="1" applyFill="1" applyBorder="1" applyAlignment="1" applyProtection="1">
      <alignment horizontal="right"/>
      <protection locked="0"/>
    </xf>
    <xf numFmtId="171" fontId="4" fillId="6" borderId="37" xfId="0" applyNumberFormat="1" applyFont="1" applyFill="1" applyBorder="1" applyAlignment="1" applyProtection="1">
      <alignment horizontal="right"/>
      <protection locked="0"/>
    </xf>
    <xf numFmtId="2" fontId="4" fillId="6" borderId="38" xfId="0" applyNumberFormat="1" applyFont="1" applyFill="1" applyBorder="1" applyAlignment="1" applyProtection="1">
      <alignment horizontal="right"/>
      <protection locked="0"/>
    </xf>
    <xf numFmtId="167" fontId="3" fillId="6" borderId="36" xfId="0" applyFont="1" applyFill="1" applyBorder="1" applyAlignment="1" applyProtection="1">
      <alignment horizontal="right"/>
      <protection locked="0"/>
    </xf>
    <xf numFmtId="2" fontId="3" fillId="6" borderId="37" xfId="0" applyNumberFormat="1" applyFont="1" applyFill="1" applyBorder="1" applyAlignment="1" applyProtection="1">
      <alignment horizontal="right"/>
      <protection locked="0"/>
    </xf>
    <xf numFmtId="166" fontId="3" fillId="6" borderId="37" xfId="4" applyFont="1" applyFill="1" applyBorder="1" applyAlignment="1" applyProtection="1">
      <alignment horizontal="right"/>
      <protection locked="0"/>
    </xf>
    <xf numFmtId="173" fontId="3" fillId="6" borderId="37" xfId="0" applyNumberFormat="1" applyFont="1" applyFill="1" applyBorder="1" applyAlignment="1" applyProtection="1">
      <alignment horizontal="right"/>
      <protection locked="0"/>
    </xf>
    <xf numFmtId="170" fontId="3" fillId="6" borderId="37" xfId="0" applyNumberFormat="1" applyFont="1" applyFill="1" applyBorder="1" applyAlignment="1" applyProtection="1">
      <alignment horizontal="right"/>
      <protection locked="0"/>
    </xf>
    <xf numFmtId="167" fontId="3" fillId="6" borderId="37" xfId="0" applyFont="1" applyFill="1" applyBorder="1" applyAlignment="1" applyProtection="1">
      <alignment horizontal="right"/>
      <protection locked="0"/>
    </xf>
    <xf numFmtId="10" fontId="3" fillId="6" borderId="38" xfId="0" applyNumberFormat="1" applyFont="1" applyFill="1" applyBorder="1" applyAlignment="1" applyProtection="1">
      <alignment horizontal="right"/>
      <protection locked="0"/>
    </xf>
    <xf numFmtId="167" fontId="4" fillId="6" borderId="39" xfId="0" applyFont="1" applyFill="1" applyBorder="1" applyAlignment="1" applyProtection="1">
      <alignment horizontal="right"/>
      <protection locked="0"/>
    </xf>
    <xf numFmtId="2" fontId="4" fillId="6" borderId="40" xfId="0" applyNumberFormat="1" applyFont="1" applyFill="1" applyBorder="1" applyAlignment="1" applyProtection="1">
      <alignment horizontal="right"/>
      <protection locked="0"/>
    </xf>
    <xf numFmtId="166" fontId="4" fillId="6" borderId="40" xfId="4" applyFont="1" applyFill="1" applyBorder="1" applyAlignment="1" applyProtection="1">
      <alignment horizontal="right"/>
      <protection locked="0"/>
    </xf>
    <xf numFmtId="173" fontId="4" fillId="6" borderId="40" xfId="0" applyNumberFormat="1" applyFont="1" applyFill="1" applyBorder="1" applyAlignment="1" applyProtection="1">
      <alignment horizontal="right"/>
      <protection locked="0"/>
    </xf>
    <xf numFmtId="170" fontId="4" fillId="6" borderId="40" xfId="0" applyNumberFormat="1" applyFont="1" applyFill="1" applyBorder="1" applyAlignment="1" applyProtection="1">
      <alignment horizontal="right"/>
      <protection locked="0"/>
    </xf>
    <xf numFmtId="167" fontId="4" fillId="6" borderId="40" xfId="0" applyFont="1" applyFill="1" applyBorder="1" applyAlignment="1" applyProtection="1">
      <alignment horizontal="right"/>
      <protection locked="0"/>
    </xf>
    <xf numFmtId="10" fontId="4" fillId="6" borderId="41" xfId="0" applyNumberFormat="1" applyFont="1" applyFill="1" applyBorder="1" applyAlignment="1" applyProtection="1">
      <alignment horizontal="right"/>
      <protection locked="0"/>
    </xf>
    <xf numFmtId="180" fontId="4" fillId="6" borderId="39" xfId="0" applyNumberFormat="1" applyFont="1" applyFill="1" applyBorder="1" applyAlignment="1" applyProtection="1">
      <alignment horizontal="right"/>
      <protection locked="0"/>
    </xf>
    <xf numFmtId="166" fontId="4" fillId="6" borderId="40" xfId="4" applyFont="1" applyFill="1" applyBorder="1" applyProtection="1">
      <protection locked="0"/>
    </xf>
    <xf numFmtId="174" fontId="4" fillId="6" borderId="40" xfId="0" applyNumberFormat="1" applyFont="1" applyFill="1" applyBorder="1" applyProtection="1">
      <protection locked="0"/>
    </xf>
    <xf numFmtId="170" fontId="4" fillId="6" borderId="40" xfId="0" applyNumberFormat="1" applyFont="1" applyFill="1" applyBorder="1" applyProtection="1">
      <protection locked="0"/>
    </xf>
    <xf numFmtId="167" fontId="4" fillId="6" borderId="40" xfId="0" applyFont="1" applyFill="1" applyBorder="1" applyProtection="1">
      <protection locked="0"/>
    </xf>
    <xf numFmtId="10" fontId="4" fillId="6" borderId="41" xfId="0" applyNumberFormat="1" applyFont="1" applyFill="1" applyBorder="1" applyProtection="1">
      <protection locked="0"/>
    </xf>
    <xf numFmtId="164" fontId="29" fillId="6" borderId="39" xfId="0" applyNumberFormat="1" applyFont="1" applyFill="1" applyBorder="1" applyAlignment="1" applyProtection="1">
      <alignment horizontal="right"/>
      <protection locked="0"/>
    </xf>
    <xf numFmtId="174" fontId="4" fillId="6" borderId="40" xfId="0" applyNumberFormat="1" applyFont="1" applyFill="1" applyBorder="1" applyAlignment="1" applyProtection="1">
      <alignment horizontal="right"/>
      <protection locked="0"/>
    </xf>
    <xf numFmtId="184" fontId="4" fillId="6" borderId="39" xfId="0" applyNumberFormat="1" applyFont="1" applyFill="1" applyBorder="1" applyAlignment="1" applyProtection="1">
      <alignment horizontal="right"/>
      <protection locked="0"/>
    </xf>
    <xf numFmtId="4" fontId="4" fillId="6" borderId="40" xfId="0" applyNumberFormat="1" applyFont="1" applyFill="1" applyBorder="1" applyAlignment="1" applyProtection="1">
      <alignment horizontal="right"/>
      <protection locked="0"/>
    </xf>
    <xf numFmtId="171" fontId="4" fillId="6" borderId="40" xfId="0" applyNumberFormat="1" applyFont="1" applyFill="1" applyBorder="1" applyAlignment="1" applyProtection="1">
      <alignment horizontal="right"/>
      <protection locked="0"/>
    </xf>
    <xf numFmtId="164" fontId="6" fillId="2" borderId="0" xfId="0" applyNumberFormat="1" applyFont="1" applyFill="1" applyBorder="1" applyAlignment="1">
      <alignment horizontal="right"/>
    </xf>
    <xf numFmtId="164" fontId="3" fillId="2" borderId="0" xfId="0" applyNumberFormat="1" applyFont="1" applyFill="1" applyBorder="1"/>
    <xf numFmtId="164" fontId="3" fillId="0" borderId="0" xfId="0" applyNumberFormat="1" applyFont="1" applyBorder="1" applyAlignment="1">
      <alignment horizontal="right"/>
    </xf>
    <xf numFmtId="164" fontId="3" fillId="2" borderId="11" xfId="0" applyNumberFormat="1" applyFont="1" applyFill="1" applyBorder="1" applyAlignment="1" applyProtection="1">
      <alignment horizontal="right"/>
      <protection locked="0"/>
    </xf>
    <xf numFmtId="164" fontId="4" fillId="6" borderId="40" xfId="0" applyNumberFormat="1" applyFont="1" applyFill="1" applyBorder="1" applyAlignment="1" applyProtection="1">
      <alignment horizontal="right"/>
      <protection locked="0"/>
    </xf>
    <xf numFmtId="175" fontId="4" fillId="6" borderId="40" xfId="0" applyNumberFormat="1" applyFont="1" applyFill="1" applyBorder="1" applyAlignment="1" applyProtection="1">
      <alignment horizontal="right"/>
      <protection locked="0"/>
    </xf>
    <xf numFmtId="2" fontId="3" fillId="2" borderId="0" xfId="0" applyNumberFormat="1" applyFont="1" applyFill="1" applyBorder="1"/>
    <xf numFmtId="2" fontId="6" fillId="2" borderId="0" xfId="0" applyNumberFormat="1" applyFont="1" applyFill="1" applyBorder="1"/>
    <xf numFmtId="165" fontId="16" fillId="2" borderId="4" xfId="1" applyFont="1" applyFill="1" applyBorder="1" applyAlignment="1">
      <alignment horizontal="right"/>
    </xf>
    <xf numFmtId="2" fontId="6" fillId="2" borderId="11" xfId="0" applyNumberFormat="1" applyFont="1" applyFill="1" applyBorder="1" applyAlignment="1">
      <alignment horizontal="right" indent="1"/>
    </xf>
    <xf numFmtId="180" fontId="3" fillId="2" borderId="24" xfId="0" applyNumberFormat="1" applyFont="1" applyFill="1" applyBorder="1" applyAlignment="1">
      <alignment horizontal="right"/>
    </xf>
    <xf numFmtId="180" fontId="3" fillId="2" borderId="28" xfId="0" applyNumberFormat="1" applyFont="1" applyFill="1" applyBorder="1" applyAlignment="1">
      <alignment horizontal="right"/>
    </xf>
    <xf numFmtId="180" fontId="3" fillId="2" borderId="11" xfId="0" applyNumberFormat="1" applyFont="1" applyFill="1" applyBorder="1" applyAlignment="1" applyProtection="1">
      <alignment horizontal="right"/>
      <protection locked="0"/>
    </xf>
    <xf numFmtId="167" fontId="0" fillId="7" borderId="0" xfId="0" applyFill="1" applyProtection="1">
      <protection locked="0"/>
    </xf>
    <xf numFmtId="174" fontId="3" fillId="7" borderId="2" xfId="0" applyNumberFormat="1" applyFont="1" applyFill="1" applyBorder="1" applyAlignment="1" applyProtection="1">
      <protection locked="0"/>
    </xf>
    <xf numFmtId="174" fontId="3" fillId="7" borderId="2" xfId="0" applyNumberFormat="1" applyFont="1" applyFill="1" applyBorder="1" applyAlignment="1" applyProtection="1">
      <alignment horizontal="left"/>
      <protection locked="0"/>
    </xf>
    <xf numFmtId="167" fontId="3" fillId="7" borderId="2" xfId="0" applyFont="1" applyFill="1" applyBorder="1" applyAlignment="1" applyProtection="1">
      <protection locked="0"/>
    </xf>
    <xf numFmtId="167" fontId="3" fillId="7" borderId="2" xfId="0" applyFont="1" applyFill="1" applyBorder="1" applyAlignment="1" applyProtection="1">
      <alignment horizontal="left"/>
      <protection locked="0"/>
    </xf>
    <xf numFmtId="167" fontId="41" fillId="13" borderId="2" xfId="0" applyFont="1" applyFill="1" applyBorder="1" applyAlignment="1" applyProtection="1">
      <alignment horizontal="center"/>
      <protection locked="0"/>
    </xf>
    <xf numFmtId="166" fontId="3" fillId="7" borderId="0" xfId="4" applyFont="1" applyFill="1" applyBorder="1" applyAlignment="1">
      <alignment horizontal="right"/>
    </xf>
    <xf numFmtId="193" fontId="3" fillId="2" borderId="9" xfId="4" applyNumberFormat="1" applyFont="1" applyFill="1" applyBorder="1" applyAlignment="1" applyProtection="1">
      <alignment horizontal="right" indent="1"/>
      <protection locked="0"/>
    </xf>
    <xf numFmtId="193" fontId="3" fillId="2" borderId="9" xfId="4" applyNumberFormat="1" applyFont="1" applyFill="1" applyBorder="1" applyProtection="1">
      <protection locked="0"/>
    </xf>
    <xf numFmtId="174" fontId="3" fillId="7" borderId="11" xfId="0" applyNumberFormat="1" applyFont="1" applyFill="1" applyBorder="1" applyAlignment="1" applyProtection="1">
      <alignment horizontal="right"/>
      <protection locked="0"/>
    </xf>
    <xf numFmtId="195" fontId="3" fillId="2" borderId="35" xfId="4" applyNumberFormat="1" applyFont="1" applyFill="1" applyBorder="1"/>
    <xf numFmtId="166" fontId="4" fillId="6" borderId="41" xfId="4" applyFont="1" applyFill="1" applyBorder="1" applyAlignment="1" applyProtection="1">
      <alignment horizontal="right"/>
      <protection locked="0"/>
    </xf>
    <xf numFmtId="166" fontId="4" fillId="6" borderId="41" xfId="4" applyFont="1" applyFill="1" applyBorder="1" applyProtection="1">
      <protection locked="0"/>
    </xf>
    <xf numFmtId="196" fontId="3" fillId="2" borderId="0" xfId="4" applyNumberFormat="1" applyFont="1" applyFill="1"/>
    <xf numFmtId="10" fontId="4" fillId="6" borderId="41" xfId="2" applyNumberFormat="1" applyFont="1" applyFill="1" applyBorder="1" applyAlignment="1" applyProtection="1">
      <alignment horizontal="right"/>
      <protection locked="0"/>
    </xf>
    <xf numFmtId="167" fontId="34" fillId="13" borderId="0" xfId="0" applyFont="1" applyFill="1" applyBorder="1"/>
    <xf numFmtId="180" fontId="3" fillId="0" borderId="11" xfId="0" applyNumberFormat="1" applyFont="1" applyFill="1" applyBorder="1" applyAlignment="1">
      <alignment horizontal="right"/>
    </xf>
    <xf numFmtId="167" fontId="3" fillId="7" borderId="10" xfId="0" applyFont="1" applyFill="1" applyBorder="1" applyAlignment="1">
      <alignment horizontal="left" indent="6"/>
    </xf>
    <xf numFmtId="167" fontId="3" fillId="2" borderId="10" xfId="0" applyFont="1" applyFill="1" applyBorder="1" applyAlignment="1">
      <alignment horizontal="left" indent="6"/>
    </xf>
    <xf numFmtId="167" fontId="6" fillId="2" borderId="24" xfId="0" applyFont="1" applyFill="1" applyBorder="1" applyAlignment="1">
      <alignment horizontal="right"/>
    </xf>
    <xf numFmtId="167" fontId="0" fillId="0" borderId="0" xfId="0" applyBorder="1"/>
    <xf numFmtId="167" fontId="0" fillId="0" borderId="42" xfId="0" applyFont="1" applyFill="1" applyBorder="1"/>
    <xf numFmtId="167" fontId="0" fillId="0" borderId="26" xfId="0" applyFont="1" applyFill="1" applyBorder="1"/>
    <xf numFmtId="167" fontId="0" fillId="0" borderId="27" xfId="0" applyFont="1" applyFill="1" applyBorder="1"/>
    <xf numFmtId="167" fontId="44" fillId="0" borderId="0" xfId="0" applyFont="1"/>
    <xf numFmtId="166" fontId="3" fillId="2" borderId="0" xfId="4" applyFont="1" applyFill="1"/>
    <xf numFmtId="2" fontId="6" fillId="7" borderId="43" xfId="0" applyNumberFormat="1" applyFont="1" applyFill="1" applyBorder="1" applyAlignment="1">
      <alignment horizontal="right"/>
    </xf>
    <xf numFmtId="2" fontId="6" fillId="15" borderId="44" xfId="0" applyNumberFormat="1" applyFont="1" applyFill="1" applyBorder="1" applyAlignment="1">
      <alignment horizontal="right"/>
    </xf>
    <xf numFmtId="167" fontId="3" fillId="2" borderId="45" xfId="0" applyFont="1" applyFill="1" applyBorder="1" applyAlignment="1">
      <alignment horizontal="right"/>
    </xf>
    <xf numFmtId="166" fontId="3" fillId="2" borderId="46" xfId="4" applyFont="1" applyFill="1" applyBorder="1" applyAlignment="1">
      <alignment horizontal="right"/>
    </xf>
    <xf numFmtId="166" fontId="3" fillId="2" borderId="46" xfId="4" applyFont="1" applyFill="1" applyBorder="1"/>
    <xf numFmtId="167" fontId="3" fillId="2" borderId="46" xfId="0" applyFont="1" applyFill="1" applyBorder="1" applyAlignment="1">
      <alignment horizontal="right"/>
    </xf>
    <xf numFmtId="2" fontId="3" fillId="7" borderId="45" xfId="0" applyNumberFormat="1" applyFont="1" applyFill="1" applyBorder="1" applyAlignment="1">
      <alignment horizontal="right"/>
    </xf>
    <xf numFmtId="2" fontId="3" fillId="7" borderId="46" xfId="0" applyNumberFormat="1" applyFont="1" applyFill="1" applyBorder="1" applyAlignment="1">
      <alignment horizontal="right"/>
    </xf>
    <xf numFmtId="180" fontId="3" fillId="7" borderId="46" xfId="0" applyNumberFormat="1" applyFont="1" applyFill="1" applyBorder="1" applyAlignment="1">
      <alignment horizontal="right"/>
    </xf>
    <xf numFmtId="167" fontId="4" fillId="2" borderId="47" xfId="0" applyFont="1" applyFill="1" applyBorder="1" applyAlignment="1">
      <alignment horizontal="right"/>
    </xf>
    <xf numFmtId="166" fontId="4" fillId="0" borderId="35" xfId="4" applyFont="1" applyFill="1" applyBorder="1" applyAlignment="1">
      <alignment horizontal="right"/>
    </xf>
    <xf numFmtId="166" fontId="3" fillId="2" borderId="35" xfId="4" applyFont="1" applyFill="1" applyBorder="1" applyAlignment="1">
      <alignment horizontal="right"/>
    </xf>
    <xf numFmtId="167" fontId="0" fillId="16" borderId="0" xfId="0" applyFill="1"/>
    <xf numFmtId="167" fontId="10" fillId="0" borderId="8" xfId="3" applyNumberFormat="1" applyBorder="1"/>
    <xf numFmtId="167" fontId="23" fillId="0" borderId="0" xfId="0" applyFont="1" applyFill="1"/>
    <xf numFmtId="167" fontId="0" fillId="0" borderId="0" xfId="0" applyFill="1"/>
    <xf numFmtId="167" fontId="0" fillId="0" borderId="11" xfId="0" applyFill="1" applyBorder="1"/>
    <xf numFmtId="167" fontId="23" fillId="0" borderId="11" xfId="0" applyFont="1" applyFill="1" applyBorder="1"/>
    <xf numFmtId="185" fontId="0" fillId="0" borderId="11" xfId="0" applyNumberFormat="1" applyFill="1" applyBorder="1"/>
    <xf numFmtId="174" fontId="4" fillId="0" borderId="0" xfId="0" applyNumberFormat="1" applyFont="1" applyFill="1" applyAlignment="1">
      <alignment horizontal="right"/>
    </xf>
    <xf numFmtId="167" fontId="0" fillId="0" borderId="13" xfId="0" applyFill="1" applyBorder="1"/>
    <xf numFmtId="185" fontId="0" fillId="0" borderId="6" xfId="0" applyNumberFormat="1" applyFill="1" applyBorder="1"/>
    <xf numFmtId="167" fontId="0" fillId="0" borderId="10" xfId="0" applyBorder="1" applyAlignment="1">
      <alignment horizontal="left"/>
    </xf>
    <xf numFmtId="167" fontId="0" fillId="9" borderId="0" xfId="0" applyFill="1"/>
    <xf numFmtId="167" fontId="9" fillId="9" borderId="2" xfId="0" applyFont="1" applyFill="1" applyBorder="1"/>
    <xf numFmtId="180" fontId="9" fillId="9" borderId="18" xfId="0" applyNumberFormat="1" applyFont="1" applyFill="1" applyBorder="1" applyAlignment="1">
      <alignment horizontal="center"/>
    </xf>
    <xf numFmtId="180" fontId="9" fillId="9" borderId="17" xfId="0" applyNumberFormat="1" applyFont="1" applyFill="1" applyBorder="1" applyAlignment="1">
      <alignment horizontal="center"/>
    </xf>
    <xf numFmtId="167" fontId="11" fillId="9" borderId="0" xfId="0" applyFont="1" applyFill="1"/>
    <xf numFmtId="167" fontId="45" fillId="0" borderId="11" xfId="0" applyFont="1" applyFill="1" applyBorder="1"/>
    <xf numFmtId="185" fontId="46" fillId="0" borderId="11" xfId="0" applyNumberFormat="1" applyFont="1" applyFill="1" applyBorder="1"/>
    <xf numFmtId="167" fontId="0" fillId="17" borderId="0" xfId="0" applyFill="1" applyAlignment="1">
      <alignment horizontal="left" indent="2"/>
    </xf>
    <xf numFmtId="167" fontId="11" fillId="17" borderId="0" xfId="0" applyFont="1" applyFill="1"/>
    <xf numFmtId="167" fontId="11" fillId="17" borderId="0" xfId="0" applyFont="1" applyFill="1" applyAlignment="1">
      <alignment horizontal="center"/>
    </xf>
    <xf numFmtId="167" fontId="27" fillId="17" borderId="10" xfId="0" applyFont="1" applyFill="1" applyBorder="1"/>
    <xf numFmtId="167" fontId="0" fillId="17" borderId="0" xfId="0" applyFill="1"/>
    <xf numFmtId="168" fontId="16" fillId="0" borderId="0" xfId="0" applyNumberFormat="1" applyFont="1" applyFill="1" applyBorder="1" applyAlignment="1">
      <alignment horizontal="left"/>
    </xf>
    <xf numFmtId="168" fontId="6" fillId="0" borderId="0" xfId="0" applyNumberFormat="1" applyFont="1" applyFill="1" applyBorder="1"/>
    <xf numFmtId="167" fontId="3" fillId="0" borderId="0" xfId="0" applyFont="1" applyFill="1" applyBorder="1"/>
    <xf numFmtId="168" fontId="3" fillId="0" borderId="0" xfId="0" applyNumberFormat="1" applyFont="1" applyFill="1" applyBorder="1" applyAlignment="1">
      <alignment horizontal="left"/>
    </xf>
    <xf numFmtId="164" fontId="4" fillId="0" borderId="0" xfId="0" applyNumberFormat="1" applyFont="1" applyFill="1" applyBorder="1" applyAlignment="1">
      <alignment horizontal="right"/>
    </xf>
    <xf numFmtId="168" fontId="3" fillId="0" borderId="0" xfId="0" applyNumberFormat="1" applyFont="1" applyFill="1" applyBorder="1"/>
    <xf numFmtId="183" fontId="3" fillId="0" borderId="0" xfId="0" applyNumberFormat="1" applyFont="1" applyFill="1" applyBorder="1" applyAlignment="1">
      <alignment horizontal="right"/>
    </xf>
    <xf numFmtId="0" fontId="3" fillId="0" borderId="0" xfId="0" applyNumberFormat="1" applyFont="1" applyFill="1" applyBorder="1"/>
    <xf numFmtId="168" fontId="4" fillId="0" borderId="0" xfId="0" applyNumberFormat="1" applyFont="1" applyFill="1" applyBorder="1" applyAlignment="1">
      <alignment horizontal="left"/>
    </xf>
    <xf numFmtId="165" fontId="4" fillId="0" borderId="0" xfId="1" applyFont="1" applyFill="1" applyBorder="1" applyAlignment="1">
      <alignment horizontal="right"/>
    </xf>
    <xf numFmtId="168" fontId="16" fillId="0" borderId="3" xfId="0" applyNumberFormat="1" applyFont="1" applyFill="1" applyBorder="1" applyAlignment="1">
      <alignment horizontal="left"/>
    </xf>
    <xf numFmtId="178" fontId="3" fillId="2" borderId="0" xfId="0" applyNumberFormat="1" applyFont="1" applyFill="1" applyBorder="1" applyAlignment="1">
      <alignment horizontal="center"/>
    </xf>
    <xf numFmtId="188" fontId="3" fillId="2" borderId="0" xfId="0" applyNumberFormat="1" applyFont="1" applyFill="1" applyBorder="1" applyAlignment="1">
      <alignment horizontal="center"/>
    </xf>
    <xf numFmtId="188" fontId="3" fillId="2" borderId="0" xfId="0" applyNumberFormat="1" applyFont="1" applyFill="1" applyBorder="1" applyAlignment="1">
      <alignment horizontal="left"/>
    </xf>
    <xf numFmtId="168" fontId="6" fillId="0" borderId="4" xfId="0" applyNumberFormat="1" applyFont="1" applyFill="1" applyBorder="1" applyAlignment="1">
      <alignment horizontal="right"/>
    </xf>
    <xf numFmtId="178" fontId="17" fillId="7" borderId="2" xfId="3" applyNumberFormat="1" applyFont="1" applyFill="1" applyBorder="1" applyAlignment="1" applyProtection="1">
      <alignment horizontal="left"/>
      <protection locked="0"/>
    </xf>
    <xf numFmtId="0" fontId="17" fillId="7" borderId="2" xfId="3" applyFont="1" applyFill="1" applyBorder="1" applyAlignment="1" applyProtection="1">
      <alignment horizontal="left"/>
      <protection locked="0"/>
    </xf>
    <xf numFmtId="167" fontId="17" fillId="7" borderId="2" xfId="3" applyNumberFormat="1" applyFont="1" applyFill="1" applyBorder="1" applyAlignment="1" applyProtection="1">
      <alignment horizontal="left"/>
      <protection locked="0"/>
    </xf>
    <xf numFmtId="0" fontId="10" fillId="7" borderId="2" xfId="3" applyFill="1" applyBorder="1" applyAlignment="1" applyProtection="1">
      <alignment horizontal="left"/>
      <protection locked="0"/>
    </xf>
    <xf numFmtId="167" fontId="10" fillId="7" borderId="2" xfId="3" applyNumberFormat="1" applyFill="1" applyBorder="1" applyAlignment="1" applyProtection="1">
      <alignment horizontal="left"/>
      <protection locked="0"/>
    </xf>
    <xf numFmtId="167" fontId="10" fillId="7" borderId="2" xfId="3" applyNumberFormat="1" applyFill="1" applyBorder="1" applyAlignment="1">
      <alignment horizontal="left"/>
    </xf>
    <xf numFmtId="178" fontId="10" fillId="7" borderId="2" xfId="3" applyNumberFormat="1" applyFill="1" applyBorder="1" applyAlignment="1" applyProtection="1">
      <alignment horizontal="left"/>
      <protection locked="0"/>
    </xf>
    <xf numFmtId="180" fontId="9" fillId="10" borderId="2" xfId="0" applyNumberFormat="1" applyFont="1" applyFill="1" applyBorder="1" applyAlignment="1">
      <alignment horizontal="center"/>
    </xf>
    <xf numFmtId="180" fontId="9" fillId="4" borderId="2" xfId="0" applyNumberFormat="1" applyFont="1" applyFill="1" applyBorder="1" applyAlignment="1">
      <alignment horizontal="center"/>
    </xf>
    <xf numFmtId="167" fontId="11" fillId="0" borderId="2" xfId="0" applyFont="1" applyBorder="1"/>
    <xf numFmtId="167" fontId="0" fillId="0" borderId="0" xfId="0" applyAlignment="1"/>
    <xf numFmtId="167" fontId="49" fillId="18" borderId="50" xfId="0" applyFont="1" applyFill="1" applyBorder="1" applyAlignment="1">
      <alignment vertical="center"/>
    </xf>
    <xf numFmtId="167" fontId="48" fillId="0" borderId="6" xfId="0" applyFont="1" applyBorder="1" applyAlignment="1">
      <alignment vertical="center"/>
    </xf>
    <xf numFmtId="167" fontId="48" fillId="0" borderId="52" xfId="0" applyFont="1" applyBorder="1" applyAlignment="1">
      <alignment vertical="center"/>
    </xf>
    <xf numFmtId="167" fontId="48" fillId="0" borderId="55" xfId="0" applyFont="1" applyBorder="1" applyAlignment="1">
      <alignment vertical="center"/>
    </xf>
    <xf numFmtId="167" fontId="48" fillId="0" borderId="56" xfId="0" applyFont="1" applyBorder="1" applyAlignment="1">
      <alignment vertical="center"/>
    </xf>
    <xf numFmtId="167" fontId="32" fillId="13" borderId="0" xfId="0" applyFont="1" applyFill="1" applyAlignment="1"/>
    <xf numFmtId="167" fontId="0" fillId="9" borderId="0" xfId="0" applyFill="1" applyAlignment="1"/>
    <xf numFmtId="174" fontId="3" fillId="2" borderId="35" xfId="0" applyNumberFormat="1" applyFont="1" applyFill="1" applyBorder="1" applyAlignment="1">
      <alignment horizontal="center"/>
    </xf>
    <xf numFmtId="174" fontId="3" fillId="2" borderId="2" xfId="0" applyNumberFormat="1" applyFont="1" applyFill="1" applyBorder="1" applyAlignment="1">
      <alignment horizontal="center"/>
    </xf>
    <xf numFmtId="167" fontId="23" fillId="19" borderId="0" xfId="0" applyFont="1" applyFill="1" applyAlignment="1">
      <alignment horizontal="center"/>
    </xf>
    <xf numFmtId="167" fontId="23" fillId="19" borderId="58" xfId="0" applyFont="1" applyFill="1" applyBorder="1" applyAlignment="1">
      <alignment horizontal="center"/>
    </xf>
    <xf numFmtId="167" fontId="32" fillId="5" borderId="3" xfId="0" applyFont="1" applyFill="1" applyBorder="1" applyAlignment="1">
      <alignment horizontal="center"/>
    </xf>
    <xf numFmtId="167" fontId="32" fillId="5" borderId="4" xfId="0" applyFont="1" applyFill="1" applyBorder="1" applyAlignment="1">
      <alignment horizontal="center"/>
    </xf>
    <xf numFmtId="167" fontId="49" fillId="18" borderId="48" xfId="0" applyFont="1" applyFill="1" applyBorder="1" applyAlignment="1">
      <alignment vertical="center"/>
    </xf>
    <xf numFmtId="167" fontId="49" fillId="18" borderId="49" xfId="0" applyFont="1" applyFill="1" applyBorder="1" applyAlignment="1">
      <alignment vertical="center"/>
    </xf>
    <xf numFmtId="167" fontId="48" fillId="0" borderId="57" xfId="0" applyFont="1" applyBorder="1" applyAlignment="1">
      <alignment vertical="center"/>
    </xf>
    <xf numFmtId="167" fontId="48" fillId="0" borderId="51" xfId="0" applyFont="1" applyBorder="1" applyAlignment="1">
      <alignment vertical="center"/>
    </xf>
    <xf numFmtId="167" fontId="48" fillId="0" borderId="53" xfId="0" applyFont="1" applyBorder="1" applyAlignment="1">
      <alignment vertical="center"/>
    </xf>
    <xf numFmtId="167" fontId="48" fillId="0" borderId="54" xfId="0" applyFont="1" applyBorder="1" applyAlignment="1">
      <alignment vertical="center"/>
    </xf>
    <xf numFmtId="167" fontId="26" fillId="2" borderId="0" xfId="0" applyFont="1" applyFill="1" applyAlignment="1">
      <alignment horizontal="center" wrapText="1"/>
    </xf>
    <xf numFmtId="167" fontId="26" fillId="2" borderId="0" xfId="0" applyFont="1" applyFill="1" applyAlignment="1">
      <alignment horizontal="left" wrapText="1"/>
    </xf>
    <xf numFmtId="168" fontId="3" fillId="7" borderId="7" xfId="0" applyNumberFormat="1" applyFont="1" applyFill="1" applyBorder="1" applyAlignment="1">
      <alignment horizontal="left" vertical="top" wrapText="1"/>
    </xf>
    <xf numFmtId="168" fontId="3" fillId="7" borderId="9" xfId="0" applyNumberFormat="1" applyFont="1" applyFill="1" applyBorder="1" applyAlignment="1">
      <alignment horizontal="left" vertical="top" wrapText="1"/>
    </xf>
    <xf numFmtId="168" fontId="3" fillId="7" borderId="10" xfId="0" applyNumberFormat="1" applyFont="1" applyFill="1" applyBorder="1" applyAlignment="1">
      <alignment horizontal="left" vertical="top" wrapText="1"/>
    </xf>
    <xf numFmtId="168" fontId="3" fillId="7" borderId="11" xfId="0" applyNumberFormat="1" applyFont="1" applyFill="1" applyBorder="1" applyAlignment="1">
      <alignment horizontal="left" vertical="top" wrapText="1"/>
    </xf>
    <xf numFmtId="168" fontId="3" fillId="7" borderId="12" xfId="0" applyNumberFormat="1" applyFont="1" applyFill="1" applyBorder="1" applyAlignment="1">
      <alignment horizontal="left" vertical="top" wrapText="1"/>
    </xf>
    <xf numFmtId="168" fontId="3" fillId="7" borderId="6" xfId="0" applyNumberFormat="1" applyFont="1" applyFill="1" applyBorder="1" applyAlignment="1">
      <alignment horizontal="left" vertical="top" wrapText="1"/>
    </xf>
  </cellXfs>
  <cellStyles count="13">
    <cellStyle name="Comma" xfId="4" builtinId="3"/>
    <cellStyle name="Comma 2" xfId="6" xr:uid="{17E3D3FB-0FAB-4EE6-8EB7-4BB35C0AE6C3}"/>
    <cellStyle name="Comma 3" xfId="8" xr:uid="{5A099227-6579-40F2-B621-9052D0BD181D}"/>
    <cellStyle name="Currency" xfId="1" builtinId="4"/>
    <cellStyle name="Currency 2" xfId="11" xr:uid="{1F020FD4-A6F8-4C39-874F-469A0C7B3E74}"/>
    <cellStyle name="Hyperlink" xfId="3" builtinId="8"/>
    <cellStyle name="Hyperlink 2" xfId="9" xr:uid="{11ADD955-F22A-4057-BE2B-DFA52C83627E}"/>
    <cellStyle name="Normal" xfId="0" builtinId="0"/>
    <cellStyle name="Normal 2" xfId="5" xr:uid="{C85BBF17-0FD7-427F-965F-14C78E77390E}"/>
    <cellStyle name="Normal 3" xfId="7" xr:uid="{D2854929-B9BA-47D4-8CB4-24B7BDFDEFF2}"/>
    <cellStyle name="Percent" xfId="2" builtinId="5"/>
    <cellStyle name="Percent 2" xfId="12" xr:uid="{18B26D7E-D178-4A35-A3D0-8FC227A14511}"/>
    <cellStyle name="Percent 3" xfId="10" xr:uid="{9B69444C-8090-4BD8-9CC8-18379EA92BF2}"/>
  </cellStyles>
  <dxfs count="6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158740</xdr:colOff>
      <xdr:row>26</xdr:row>
      <xdr:rowOff>19050</xdr:rowOff>
    </xdr:from>
    <xdr:to>
      <xdr:col>1</xdr:col>
      <xdr:colOff>1849071</xdr:colOff>
      <xdr:row>55</xdr:row>
      <xdr:rowOff>124100</xdr:rowOff>
    </xdr:to>
    <xdr:pic>
      <xdr:nvPicPr>
        <xdr:cNvPr id="2" name="Picture 1">
          <a:extLst>
            <a:ext uri="{FF2B5EF4-FFF2-40B4-BE49-F238E27FC236}">
              <a16:creationId xmlns:a16="http://schemas.microsoft.com/office/drawing/2014/main" id="{D5B61DE9-53CC-4281-80B9-D659C110152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8740" y="5099050"/>
          <a:ext cx="1918931" cy="28800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127000</xdr:colOff>
      <xdr:row>1</xdr:row>
      <xdr:rowOff>50800</xdr:rowOff>
    </xdr:from>
    <xdr:to>
      <xdr:col>4</xdr:col>
      <xdr:colOff>753391</xdr:colOff>
      <xdr:row>12</xdr:row>
      <xdr:rowOff>58150</xdr:rowOff>
    </xdr:to>
    <xdr:pic>
      <xdr:nvPicPr>
        <xdr:cNvPr id="2" name="Picture 1">
          <a:extLst>
            <a:ext uri="{FF2B5EF4-FFF2-40B4-BE49-F238E27FC236}">
              <a16:creationId xmlns:a16="http://schemas.microsoft.com/office/drawing/2014/main" id="{222FC2B7-8F88-4974-954C-511BCAE06D4F}"/>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57650" y="285750"/>
          <a:ext cx="1439191" cy="21600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177800</xdr:colOff>
      <xdr:row>0</xdr:row>
      <xdr:rowOff>139700</xdr:rowOff>
    </xdr:from>
    <xdr:to>
      <xdr:col>4</xdr:col>
      <xdr:colOff>804191</xdr:colOff>
      <xdr:row>11</xdr:row>
      <xdr:rowOff>102600</xdr:rowOff>
    </xdr:to>
    <xdr:pic>
      <xdr:nvPicPr>
        <xdr:cNvPr id="2" name="Picture 1">
          <a:extLst>
            <a:ext uri="{FF2B5EF4-FFF2-40B4-BE49-F238E27FC236}">
              <a16:creationId xmlns:a16="http://schemas.microsoft.com/office/drawing/2014/main" id="{99307015-2BD4-4E00-907A-B53470A6584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08450" y="139700"/>
          <a:ext cx="1439191" cy="21600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69850</xdr:colOff>
      <xdr:row>0</xdr:row>
      <xdr:rowOff>146050</xdr:rowOff>
    </xdr:from>
    <xdr:to>
      <xdr:col>5</xdr:col>
      <xdr:colOff>112041</xdr:colOff>
      <xdr:row>11</xdr:row>
      <xdr:rowOff>159750</xdr:rowOff>
    </xdr:to>
    <xdr:pic>
      <xdr:nvPicPr>
        <xdr:cNvPr id="2" name="Picture 1">
          <a:extLst>
            <a:ext uri="{FF2B5EF4-FFF2-40B4-BE49-F238E27FC236}">
              <a16:creationId xmlns:a16="http://schemas.microsoft.com/office/drawing/2014/main" id="{A72BAAAE-7BDA-480A-9A5C-6632F32C8B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30650" y="146050"/>
          <a:ext cx="1439191" cy="21600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16</xdr:row>
      <xdr:rowOff>0</xdr:rowOff>
    </xdr:from>
    <xdr:to>
      <xdr:col>0</xdr:col>
      <xdr:colOff>2398672</xdr:colOff>
      <xdr:row>34</xdr:row>
      <xdr:rowOff>56700</xdr:rowOff>
    </xdr:to>
    <xdr:pic>
      <xdr:nvPicPr>
        <xdr:cNvPr id="2" name="Picture 1">
          <a:extLst>
            <a:ext uri="{FF2B5EF4-FFF2-40B4-BE49-F238E27FC236}">
              <a16:creationId xmlns:a16="http://schemas.microsoft.com/office/drawing/2014/main" id="{A95FF00F-8D3D-4002-9138-9033802F6D57}"/>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3543300"/>
          <a:ext cx="2398671" cy="360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23</xdr:row>
      <xdr:rowOff>158750</xdr:rowOff>
    </xdr:from>
    <xdr:to>
      <xdr:col>1</xdr:col>
      <xdr:colOff>1899871</xdr:colOff>
      <xdr:row>48</xdr:row>
      <xdr:rowOff>73300</xdr:rowOff>
    </xdr:to>
    <xdr:pic>
      <xdr:nvPicPr>
        <xdr:cNvPr id="2" name="Picture 1">
          <a:extLst>
            <a:ext uri="{FF2B5EF4-FFF2-40B4-BE49-F238E27FC236}">
              <a16:creationId xmlns:a16="http://schemas.microsoft.com/office/drawing/2014/main" id="{6E262CAE-390D-4EB9-8C16-96360BF3AC4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09550" y="4565650"/>
          <a:ext cx="1918921" cy="288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211658</xdr:colOff>
      <xdr:row>25</xdr:row>
      <xdr:rowOff>68280</xdr:rowOff>
    </xdr:from>
    <xdr:to>
      <xdr:col>1</xdr:col>
      <xdr:colOff>1905266</xdr:colOff>
      <xdr:row>49</xdr:row>
      <xdr:rowOff>176130</xdr:rowOff>
    </xdr:to>
    <xdr:pic>
      <xdr:nvPicPr>
        <xdr:cNvPr id="2" name="Picture 1">
          <a:extLst>
            <a:ext uri="{FF2B5EF4-FFF2-40B4-BE49-F238E27FC236}">
              <a16:creationId xmlns:a16="http://schemas.microsoft.com/office/drawing/2014/main" id="{EBC74ABD-87C7-41F3-85CE-96242373B20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1658" y="4875162"/>
          <a:ext cx="1918931" cy="288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215338</xdr:colOff>
      <xdr:row>23</xdr:row>
      <xdr:rowOff>160131</xdr:rowOff>
    </xdr:from>
    <xdr:to>
      <xdr:col>1</xdr:col>
      <xdr:colOff>1907878</xdr:colOff>
      <xdr:row>39</xdr:row>
      <xdr:rowOff>74957</xdr:rowOff>
    </xdr:to>
    <xdr:pic>
      <xdr:nvPicPr>
        <xdr:cNvPr id="2" name="Picture 1">
          <a:extLst>
            <a:ext uri="{FF2B5EF4-FFF2-40B4-BE49-F238E27FC236}">
              <a16:creationId xmlns:a16="http://schemas.microsoft.com/office/drawing/2014/main" id="{6299C562-C27A-4BF4-B8C3-AF0DC4745BB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5338" y="4627218"/>
          <a:ext cx="1918931" cy="288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49695</xdr:colOff>
      <xdr:row>26</xdr:row>
      <xdr:rowOff>16564</xdr:rowOff>
    </xdr:from>
    <xdr:to>
      <xdr:col>2</xdr:col>
      <xdr:colOff>24964</xdr:colOff>
      <xdr:row>41</xdr:row>
      <xdr:rowOff>163303</xdr:rowOff>
    </xdr:to>
    <xdr:pic>
      <xdr:nvPicPr>
        <xdr:cNvPr id="2" name="Picture 1">
          <a:extLst>
            <a:ext uri="{FF2B5EF4-FFF2-40B4-BE49-F238E27FC236}">
              <a16:creationId xmlns:a16="http://schemas.microsoft.com/office/drawing/2014/main" id="{E9AFD5B7-90A7-4DDC-9AB2-32D12804927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3260" y="5030303"/>
          <a:ext cx="1918921" cy="2880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149412</xdr:colOff>
      <xdr:row>1</xdr:row>
      <xdr:rowOff>119530</xdr:rowOff>
    </xdr:from>
    <xdr:to>
      <xdr:col>4</xdr:col>
      <xdr:colOff>863956</xdr:colOff>
      <xdr:row>12</xdr:row>
      <xdr:rowOff>135471</xdr:rowOff>
    </xdr:to>
    <xdr:pic>
      <xdr:nvPicPr>
        <xdr:cNvPr id="2" name="Picture 1">
          <a:extLst>
            <a:ext uri="{FF2B5EF4-FFF2-40B4-BE49-F238E27FC236}">
              <a16:creationId xmlns:a16="http://schemas.microsoft.com/office/drawing/2014/main" id="{10C2E221-EABF-4023-97A8-F290227C950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29530" y="351118"/>
          <a:ext cx="1439191" cy="2160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179294</xdr:colOff>
      <xdr:row>1</xdr:row>
      <xdr:rowOff>67235</xdr:rowOff>
    </xdr:from>
    <xdr:to>
      <xdr:col>4</xdr:col>
      <xdr:colOff>871426</xdr:colOff>
      <xdr:row>12</xdr:row>
      <xdr:rowOff>90647</xdr:rowOff>
    </xdr:to>
    <xdr:pic>
      <xdr:nvPicPr>
        <xdr:cNvPr id="2" name="Picture 1">
          <a:extLst>
            <a:ext uri="{FF2B5EF4-FFF2-40B4-BE49-F238E27FC236}">
              <a16:creationId xmlns:a16="http://schemas.microsoft.com/office/drawing/2014/main" id="{E01BCC4D-01AC-4DCE-B12D-3EFF4A778A7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49059" y="298823"/>
          <a:ext cx="1439191" cy="21600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171823</xdr:colOff>
      <xdr:row>2</xdr:row>
      <xdr:rowOff>112058</xdr:rowOff>
    </xdr:from>
    <xdr:to>
      <xdr:col>4</xdr:col>
      <xdr:colOff>811661</xdr:colOff>
      <xdr:row>13</xdr:row>
      <xdr:rowOff>127999</xdr:rowOff>
    </xdr:to>
    <xdr:pic>
      <xdr:nvPicPr>
        <xdr:cNvPr id="2" name="Picture 1">
          <a:extLst>
            <a:ext uri="{FF2B5EF4-FFF2-40B4-BE49-F238E27FC236}">
              <a16:creationId xmlns:a16="http://schemas.microsoft.com/office/drawing/2014/main" id="{D9F6BC98-9DDD-4FFB-B87C-E2358A5210EE}"/>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59411" y="530411"/>
          <a:ext cx="1439191" cy="21600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141941</xdr:colOff>
      <xdr:row>1</xdr:row>
      <xdr:rowOff>59765</xdr:rowOff>
    </xdr:from>
    <xdr:to>
      <xdr:col>4</xdr:col>
      <xdr:colOff>863956</xdr:colOff>
      <xdr:row>12</xdr:row>
      <xdr:rowOff>83177</xdr:rowOff>
    </xdr:to>
    <xdr:pic>
      <xdr:nvPicPr>
        <xdr:cNvPr id="2" name="Picture 1">
          <a:extLst>
            <a:ext uri="{FF2B5EF4-FFF2-40B4-BE49-F238E27FC236}">
              <a16:creationId xmlns:a16="http://schemas.microsoft.com/office/drawing/2014/main" id="{02795D1E-D2D7-478D-B0EC-7524679886B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89294" y="291353"/>
          <a:ext cx="1439191" cy="2160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HelpfulToolsandLinks.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Customs/LCBOFTAProgram.html" TargetMode="External"/><Relationship Id="rId12" Type="http://schemas.openxmlformats.org/officeDocument/2006/relationships/drawing" Target="../drawings/drawing13.x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https://www.doingbusinesswithlcbo.com/content/dbwl/en/basepage/home/new-supplier-agent/Pricing/PricingCalculators.html" TargetMode="External"/><Relationship Id="rId1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hyperlink" Target="mailto:pricing@lcbo.com" TargetMode="External"/><Relationship Id="rId10" Type="http://schemas.openxmlformats.org/officeDocument/2006/relationships/hyperlink" Target="https://www.canada.ca/en/revenue-agency/services/forms-publications/publications/edrates/excise-duty-rates.html" TargetMode="External"/><Relationship Id="rId4" Type="http://schemas.openxmlformats.org/officeDocument/2006/relationships/hyperlink" Target="mailto:Customs.Department@lcbo.com" TargetMode="External"/><Relationship Id="rId9" Type="http://schemas.openxmlformats.org/officeDocument/2006/relationships/hyperlink" Target="https://www.doingbusinesswithlcbo.com/content/dbwl/en/basepage/home/updates/ExciseCOSDEffectiveApril12021.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canada.ca/en/revenue-agency/services/forms-publications/publications/edrates/excise-duty-rates.html"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hyperlink" Target="https://www.doingbusinesswithlcbo.com/content/dbwl/en/basepage/home/new-supplier-agent/Pricing/HelpfulToolsandLinks.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doingbusinesswithlcbo.com/content/dbwl/en/basepage/home/new-supplier-agent/Pricing/HelpfulToolsandLinks.html"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ACD8-54F2-4FCE-BD4C-7314A528F9E7}">
  <sheetPr codeName="Sheet2"/>
  <dimension ref="A1"/>
  <sheetViews>
    <sheetView workbookViewId="0">
      <selection activeCell="C27" sqref="C27"/>
    </sheetView>
  </sheetViews>
  <sheetFormatPr defaultRowHeight="15.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E7D2-E199-45A3-A5C0-95D6644ED75B}">
  <sheetPr codeName="Sheet10">
    <tabColor theme="9" tint="0.39997558519241921"/>
  </sheetPr>
  <dimension ref="B1:V51"/>
  <sheetViews>
    <sheetView zoomScale="85" zoomScaleNormal="85" zoomScaleSheetLayoutView="24" workbookViewId="0">
      <selection activeCell="B1" sqref="B1"/>
    </sheetView>
  </sheetViews>
  <sheetFormatPr defaultColWidth="7.4609375" defaultRowHeight="14.5"/>
  <cols>
    <col min="1" max="1" width="2.84375" style="1" customWidth="1"/>
    <col min="2" max="2" width="23.3046875" style="1" customWidth="1"/>
    <col min="3" max="3" width="20.69140625" style="6" customWidth="1"/>
    <col min="4" max="4" width="9.07421875" style="6" customWidth="1"/>
    <col min="5" max="5" width="11.23046875" style="6" customWidth="1"/>
    <col min="6" max="6" width="2.84375" style="6" customWidth="1"/>
    <col min="7" max="7" width="23" style="6" bestFit="1" customWidth="1"/>
    <col min="8" max="8" width="20.765625" style="6" customWidth="1"/>
    <col min="9" max="9" width="1.765625" style="6" customWidth="1"/>
    <col min="10" max="10" width="18.84375" style="1" bestFit="1" customWidth="1"/>
    <col min="11" max="11" width="20.765625" style="1" customWidth="1"/>
    <col min="12" max="12" width="1.765625" style="1" customWidth="1"/>
    <col min="13" max="13" width="18.84375" style="1" bestFit="1" customWidth="1"/>
    <col min="14" max="14" width="20.765625" style="1" customWidth="1"/>
    <col min="15" max="15" width="1.765625" style="1" customWidth="1"/>
    <col min="16" max="16" width="18.53515625" style="1" bestFit="1" customWidth="1"/>
    <col min="17" max="17" width="10.765625" style="1" customWidth="1"/>
    <col min="18" max="18" width="20.69140625" style="1" customWidth="1"/>
    <col min="19"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4" t="s">
        <v>507</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50</v>
      </c>
      <c r="C4" s="399"/>
      <c r="G4" s="65" t="s">
        <v>55</v>
      </c>
      <c r="H4" s="99"/>
      <c r="J4" s="65" t="s">
        <v>91</v>
      </c>
      <c r="K4" s="99"/>
      <c r="M4" s="65" t="s">
        <v>92</v>
      </c>
      <c r="N4" s="99"/>
      <c r="P4" s="291" t="s">
        <v>300</v>
      </c>
      <c r="Q4" s="25"/>
      <c r="R4" s="292"/>
      <c r="S4" s="25"/>
      <c r="T4" s="25"/>
      <c r="U4" s="25"/>
      <c r="V4" s="115"/>
    </row>
    <row r="5" spans="2:22" ht="15" thickBot="1">
      <c r="B5" s="32" t="s">
        <v>5</v>
      </c>
      <c r="C5" s="400"/>
      <c r="G5" s="40" t="s">
        <v>28</v>
      </c>
      <c r="H5" s="41">
        <f t="shared" ref="H5:H11" si="0">K5+N5</f>
        <v>0</v>
      </c>
      <c r="J5" s="40" t="s">
        <v>93</v>
      </c>
      <c r="K5" s="41">
        <f>C9*C10</f>
        <v>0</v>
      </c>
      <c r="L5" s="62"/>
      <c r="M5" s="40" t="s">
        <v>94</v>
      </c>
      <c r="N5" s="101">
        <f>ROUND(C8*C10,4)</f>
        <v>0</v>
      </c>
      <c r="P5" s="299"/>
      <c r="Q5" s="300"/>
      <c r="R5" s="300"/>
      <c r="S5" s="300"/>
      <c r="T5" s="300"/>
      <c r="U5" s="300"/>
      <c r="V5" s="301"/>
    </row>
    <row r="6" spans="2:22" ht="15" thickBot="1">
      <c r="B6" s="220" t="s">
        <v>9</v>
      </c>
      <c r="C6" s="400"/>
      <c r="G6" s="27" t="s">
        <v>29</v>
      </c>
      <c r="H6" s="49" t="e">
        <f t="shared" si="0"/>
        <v>#N/A</v>
      </c>
      <c r="J6" s="27" t="s">
        <v>29</v>
      </c>
      <c r="K6" s="49">
        <v>0</v>
      </c>
      <c r="M6" s="27" t="s">
        <v>29</v>
      </c>
      <c r="N6" s="95" t="e">
        <f>ROUND(C12*C13*C15*C19,4)</f>
        <v>#N/A</v>
      </c>
      <c r="P6" s="293"/>
      <c r="Q6" s="294"/>
      <c r="R6" s="294"/>
      <c r="S6" s="294"/>
      <c r="T6" s="294"/>
      <c r="U6" s="294"/>
      <c r="V6" s="295"/>
    </row>
    <row r="7" spans="2:22" ht="15" thickBot="1">
      <c r="B7" s="32" t="s">
        <v>467</v>
      </c>
      <c r="C7" s="422"/>
      <c r="G7" s="43" t="s">
        <v>281</v>
      </c>
      <c r="H7" s="420">
        <f t="shared" si="0"/>
        <v>0</v>
      </c>
      <c r="J7" s="43" t="s">
        <v>281</v>
      </c>
      <c r="K7" s="49">
        <v>0</v>
      </c>
      <c r="M7" s="43" t="s">
        <v>281</v>
      </c>
      <c r="N7" s="95">
        <f>ROUND(C12*C13*C15*C18,4)</f>
        <v>0</v>
      </c>
      <c r="P7" s="293"/>
      <c r="Q7" s="294"/>
      <c r="R7" s="294"/>
      <c r="S7" s="294"/>
      <c r="T7" s="294"/>
      <c r="U7" s="294"/>
      <c r="V7" s="295"/>
    </row>
    <row r="8" spans="2:22" ht="15" thickBot="1">
      <c r="B8" s="100" t="s">
        <v>89</v>
      </c>
      <c r="C8" s="415"/>
      <c r="G8" s="43" t="s">
        <v>16</v>
      </c>
      <c r="H8" s="49">
        <f t="shared" si="0"/>
        <v>0</v>
      </c>
      <c r="J8" s="43" t="s">
        <v>16</v>
      </c>
      <c r="K8" s="49">
        <v>0</v>
      </c>
      <c r="M8" s="43" t="s">
        <v>16</v>
      </c>
      <c r="N8" s="95">
        <f>C11</f>
        <v>0</v>
      </c>
      <c r="P8" s="293"/>
      <c r="Q8" s="294"/>
      <c r="R8" s="294"/>
      <c r="S8" s="294"/>
      <c r="T8" s="294"/>
      <c r="U8" s="294"/>
      <c r="V8" s="295"/>
    </row>
    <row r="9" spans="2:22" ht="15" thickBot="1">
      <c r="B9" s="100" t="s">
        <v>90</v>
      </c>
      <c r="C9" s="415"/>
      <c r="G9" s="43" t="s">
        <v>31</v>
      </c>
      <c r="H9" s="104" t="e">
        <f t="shared" si="0"/>
        <v>#N/A</v>
      </c>
      <c r="J9" s="43" t="s">
        <v>31</v>
      </c>
      <c r="K9" s="104">
        <f>SUM(K5:K8)</f>
        <v>0</v>
      </c>
      <c r="M9" s="43" t="s">
        <v>31</v>
      </c>
      <c r="N9" s="102" t="e">
        <f>SUM(N5:N8)</f>
        <v>#N/A</v>
      </c>
      <c r="P9" s="293"/>
      <c r="Q9" s="294"/>
      <c r="R9" s="294"/>
      <c r="S9" s="294"/>
      <c r="T9" s="294"/>
      <c r="U9" s="294"/>
      <c r="V9" s="295"/>
    </row>
    <row r="10" spans="2:22" ht="15" thickBot="1">
      <c r="B10" s="220" t="s">
        <v>14</v>
      </c>
      <c r="C10" s="402"/>
      <c r="G10" s="43" t="s">
        <v>57</v>
      </c>
      <c r="H10" s="49" t="e">
        <f t="shared" si="0"/>
        <v>#N/A</v>
      </c>
      <c r="J10" s="43" t="s">
        <v>57</v>
      </c>
      <c r="K10" s="49">
        <f>ROUND(K9*Q18,4)</f>
        <v>0</v>
      </c>
      <c r="M10" s="43" t="s">
        <v>57</v>
      </c>
      <c r="N10" s="95" t="e">
        <f>ROUND(N9*C21,4)</f>
        <v>#N/A</v>
      </c>
      <c r="P10" s="293"/>
      <c r="Q10" s="294"/>
      <c r="R10" s="294"/>
      <c r="S10" s="294"/>
      <c r="T10" s="294"/>
      <c r="U10" s="294"/>
      <c r="V10" s="295"/>
    </row>
    <row r="11" spans="2:22" ht="15" thickBot="1">
      <c r="B11" s="222" t="s">
        <v>16</v>
      </c>
      <c r="C11" s="421"/>
      <c r="G11" s="43" t="s">
        <v>58</v>
      </c>
      <c r="H11" s="49" t="e">
        <f t="shared" si="0"/>
        <v>#N/A</v>
      </c>
      <c r="J11" s="43" t="s">
        <v>58</v>
      </c>
      <c r="K11" s="49">
        <f>SUM(K9:K10)</f>
        <v>0</v>
      </c>
      <c r="M11" s="43" t="s">
        <v>58</v>
      </c>
      <c r="N11" s="95" t="e">
        <f>SUM(N9:N10)</f>
        <v>#N/A</v>
      </c>
      <c r="P11" s="293"/>
      <c r="Q11" s="294"/>
      <c r="R11" s="294"/>
      <c r="S11" s="294"/>
      <c r="T11" s="294"/>
      <c r="U11" s="294"/>
      <c r="V11" s="295"/>
    </row>
    <row r="12" spans="2:22" ht="15" thickBot="1">
      <c r="B12" s="221" t="s">
        <v>18</v>
      </c>
      <c r="C12" s="403"/>
      <c r="G12" s="43"/>
      <c r="H12" s="86"/>
      <c r="J12" s="43"/>
      <c r="K12" s="86"/>
      <c r="M12" s="43"/>
      <c r="N12" s="80"/>
      <c r="P12" s="293"/>
      <c r="Q12" s="294"/>
      <c r="R12" s="294"/>
      <c r="S12" s="294"/>
      <c r="T12" s="294"/>
      <c r="U12" s="294"/>
      <c r="V12" s="295"/>
    </row>
    <row r="13" spans="2:22" ht="15" thickBot="1">
      <c r="B13" s="220" t="s">
        <v>20</v>
      </c>
      <c r="C13" s="404"/>
      <c r="G13" s="43" t="s">
        <v>35</v>
      </c>
      <c r="H13" s="49" t="e">
        <f t="shared" ref="H13:H19" si="1">K13+N13</f>
        <v>#DIV/0!</v>
      </c>
      <c r="J13" s="43" t="s">
        <v>35</v>
      </c>
      <c r="K13" s="49" t="e">
        <f>ROUND(K11/C13,4)</f>
        <v>#DIV/0!</v>
      </c>
      <c r="M13" s="43" t="s">
        <v>35</v>
      </c>
      <c r="N13" s="95" t="e">
        <f>ROUND(N11/C13,4)</f>
        <v>#N/A</v>
      </c>
      <c r="P13" s="293"/>
      <c r="Q13" s="294"/>
      <c r="R13" s="294"/>
      <c r="S13" s="294"/>
      <c r="T13" s="294"/>
      <c r="U13" s="294"/>
      <c r="V13" s="295"/>
    </row>
    <row r="14" spans="2:22" ht="15" thickBot="1">
      <c r="B14" s="220" t="s">
        <v>22</v>
      </c>
      <c r="C14" s="404"/>
      <c r="G14" s="43" t="s">
        <v>36</v>
      </c>
      <c r="H14" s="49">
        <f t="shared" si="1"/>
        <v>0</v>
      </c>
      <c r="J14" s="43" t="s">
        <v>36</v>
      </c>
      <c r="K14" s="49">
        <v>0</v>
      </c>
      <c r="M14" s="43" t="s">
        <v>36</v>
      </c>
      <c r="N14" s="95">
        <f>ROUND(C22*C12,4)</f>
        <v>0</v>
      </c>
      <c r="P14" s="293"/>
      <c r="Q14" s="294"/>
      <c r="R14" s="294"/>
      <c r="S14" s="294"/>
      <c r="T14" s="294"/>
      <c r="U14" s="294"/>
      <c r="V14" s="295"/>
    </row>
    <row r="15" spans="2:22" ht="15.75" customHeight="1" thickBot="1">
      <c r="B15" s="223" t="s">
        <v>24</v>
      </c>
      <c r="C15" s="444"/>
      <c r="D15" s="524" t="s">
        <v>306</v>
      </c>
      <c r="E15" s="525"/>
      <c r="G15" s="43" t="s">
        <v>37</v>
      </c>
      <c r="H15" s="49" t="e">
        <f t="shared" si="1"/>
        <v>#N/A</v>
      </c>
      <c r="J15" s="43" t="s">
        <v>37</v>
      </c>
      <c r="K15" s="49">
        <v>0</v>
      </c>
      <c r="M15" s="43" t="s">
        <v>37</v>
      </c>
      <c r="N15" s="95" t="e">
        <f>ROUND(C12*C20,4)</f>
        <v>#N/A</v>
      </c>
      <c r="P15" s="293"/>
      <c r="Q15" s="294"/>
      <c r="R15" s="294"/>
      <c r="S15" s="294"/>
      <c r="T15" s="294"/>
      <c r="U15" s="294"/>
      <c r="V15" s="295"/>
    </row>
    <row r="16" spans="2:22" ht="21.5" thickBot="1">
      <c r="B16" s="35" t="s">
        <v>26</v>
      </c>
      <c r="C16" s="79" t="e">
        <f>H24</f>
        <v>#N/A</v>
      </c>
      <c r="D16" s="440" t="e">
        <f>H19+H23</f>
        <v>#DIV/0!</v>
      </c>
      <c r="E16" s="321" t="e">
        <f>C16-D16</f>
        <v>#N/A</v>
      </c>
      <c r="G16" s="43" t="s">
        <v>19</v>
      </c>
      <c r="H16" s="104">
        <f t="shared" si="1"/>
        <v>0</v>
      </c>
      <c r="J16" s="43" t="s">
        <v>19</v>
      </c>
      <c r="K16" s="104">
        <v>0</v>
      </c>
      <c r="M16" s="43" t="s">
        <v>19</v>
      </c>
      <c r="N16" s="102">
        <f>ROUND(C23*C14,4)</f>
        <v>0</v>
      </c>
      <c r="P16" s="296"/>
      <c r="Q16" s="297"/>
      <c r="R16" s="297"/>
      <c r="S16" s="297"/>
      <c r="T16" s="297"/>
      <c r="U16" s="297"/>
      <c r="V16" s="298"/>
    </row>
    <row r="17" spans="2:22" ht="15" thickBot="1">
      <c r="C17" s="25"/>
      <c r="G17" s="43" t="s">
        <v>38</v>
      </c>
      <c r="H17" s="49" t="e">
        <f t="shared" si="1"/>
        <v>#DIV/0!</v>
      </c>
      <c r="J17" s="43" t="s">
        <v>38</v>
      </c>
      <c r="K17" s="49" t="e">
        <f>SUM(K13:K16)</f>
        <v>#DIV/0!</v>
      </c>
      <c r="M17" s="43" t="s">
        <v>38</v>
      </c>
      <c r="N17" s="95" t="e">
        <f>SUM(N13:N16)</f>
        <v>#N/A</v>
      </c>
      <c r="P17" s="75"/>
      <c r="Q17" s="75"/>
      <c r="R17" s="77"/>
      <c r="S17" s="91"/>
      <c r="T17" s="92"/>
      <c r="U17" s="76"/>
      <c r="V17" s="76"/>
    </row>
    <row r="18" spans="2:22">
      <c r="B18" s="52" t="s">
        <v>3</v>
      </c>
      <c r="C18" s="438">
        <f>IF(C6="Domestic",0,IF(C15&gt;=7.1%,Rates!B28,Rates!B27))</f>
        <v>0.35099999999999998</v>
      </c>
      <c r="D18" s="325"/>
      <c r="E18" s="325"/>
      <c r="F18" s="325"/>
      <c r="G18" s="43" t="s">
        <v>21</v>
      </c>
      <c r="H18" s="104" t="e">
        <f t="shared" si="1"/>
        <v>#DIV/0!</v>
      </c>
      <c r="I18" s="325"/>
      <c r="J18" s="43" t="s">
        <v>21</v>
      </c>
      <c r="K18" s="104" t="e">
        <f>ROUND(K17*C24,4)</f>
        <v>#DIV/0!</v>
      </c>
      <c r="M18" s="43" t="s">
        <v>21</v>
      </c>
      <c r="N18" s="102" t="e">
        <f>ROUND(N17*C24,4)</f>
        <v>#N/A</v>
      </c>
      <c r="P18" s="18"/>
      <c r="Q18" s="18"/>
      <c r="S18" s="502"/>
      <c r="T18" s="502"/>
      <c r="U18" s="290"/>
      <c r="V18" s="290"/>
    </row>
    <row r="19" spans="2:22">
      <c r="B19" s="43" t="s">
        <v>7</v>
      </c>
      <c r="C19" s="359" t="e">
        <f>VLOOKUP((C4&amp;C5&amp;C6),Rates!I:J,2,FALSE)</f>
        <v>#N/A</v>
      </c>
      <c r="D19" s="330"/>
      <c r="E19" s="330"/>
      <c r="F19" s="330"/>
      <c r="G19" s="43" t="s">
        <v>39</v>
      </c>
      <c r="H19" s="49" t="e">
        <f t="shared" si="1"/>
        <v>#DIV/0!</v>
      </c>
      <c r="I19" s="330"/>
      <c r="J19" s="43" t="s">
        <v>39</v>
      </c>
      <c r="K19" s="49" t="e">
        <f>SUM(K17:K18)</f>
        <v>#DIV/0!</v>
      </c>
      <c r="M19" s="43" t="s">
        <v>39</v>
      </c>
      <c r="N19" s="95" t="e">
        <f>SUM(N17:N18)</f>
        <v>#N/A</v>
      </c>
      <c r="P19" s="18"/>
      <c r="Q19" s="18"/>
      <c r="S19" s="502"/>
      <c r="T19" s="502"/>
      <c r="U19" s="290"/>
      <c r="V19" s="290"/>
    </row>
    <row r="20" spans="2:22">
      <c r="B20" s="27" t="s">
        <v>95</v>
      </c>
      <c r="C20" s="360" t="e">
        <f>VLOOKUP(C6,Rates!B142:D147,3,FALSE)</f>
        <v>#N/A</v>
      </c>
      <c r="D20" s="326"/>
      <c r="E20" s="326"/>
      <c r="F20" s="326"/>
      <c r="G20" s="337" t="s">
        <v>305</v>
      </c>
      <c r="H20" s="49" t="e">
        <f>H22-H21</f>
        <v>#N/A</v>
      </c>
      <c r="I20" s="326"/>
      <c r="J20" s="43"/>
      <c r="K20" s="45"/>
      <c r="L20" s="75"/>
      <c r="M20" s="43"/>
      <c r="N20" s="45"/>
      <c r="P20" s="18"/>
      <c r="Q20" s="89"/>
      <c r="S20" s="502"/>
      <c r="T20" s="502"/>
      <c r="U20" s="290"/>
      <c r="V20" s="290"/>
    </row>
    <row r="21" spans="2:22">
      <c r="B21" s="43" t="s">
        <v>96</v>
      </c>
      <c r="C21" s="362" t="e">
        <f>VLOOKUP(C4,Rates!A72:B75,2,0)</f>
        <v>#N/A</v>
      </c>
      <c r="D21" s="524" t="s">
        <v>301</v>
      </c>
      <c r="E21" s="525"/>
      <c r="F21" s="326"/>
      <c r="G21" s="337" t="s">
        <v>21</v>
      </c>
      <c r="H21" s="105" t="e">
        <f>ROUND(H22*C24/(1+C24),2)</f>
        <v>#N/A</v>
      </c>
      <c r="I21" s="326"/>
      <c r="J21" s="43"/>
      <c r="K21" s="45"/>
      <c r="L21" s="75"/>
      <c r="M21" s="43"/>
      <c r="N21" s="45"/>
      <c r="P21" s="18"/>
      <c r="Q21" s="90"/>
      <c r="S21" s="502"/>
      <c r="T21" s="503"/>
      <c r="U21" s="290"/>
      <c r="V21" s="290"/>
    </row>
    <row r="22" spans="2:22">
      <c r="B22" s="43" t="s">
        <v>36</v>
      </c>
      <c r="C22" s="360">
        <f>Rates!B54</f>
        <v>0.38</v>
      </c>
      <c r="D22" s="322" t="e">
        <f>C39</f>
        <v>#N/A</v>
      </c>
      <c r="E22" s="321" t="e">
        <f>D22-C22</f>
        <v>#N/A</v>
      </c>
      <c r="F22" s="326"/>
      <c r="G22" s="337" t="s">
        <v>49</v>
      </c>
      <c r="H22" s="50" t="e">
        <f>IF(C39&lt;C21,C37+0.05,C37)+K22</f>
        <v>#N/A</v>
      </c>
      <c r="I22" s="417"/>
      <c r="J22" s="48" t="s">
        <v>41</v>
      </c>
      <c r="K22" s="50" t="e">
        <f>CEILING(K19,0.05)</f>
        <v>#DIV/0!</v>
      </c>
      <c r="L22" s="75"/>
      <c r="M22" s="48" t="s">
        <v>41</v>
      </c>
      <c r="N22" s="50" t="e">
        <f>CEILING(N19,0.05)</f>
        <v>#N/A</v>
      </c>
      <c r="P22" s="18"/>
      <c r="Q22" s="90"/>
      <c r="S22" s="502"/>
      <c r="T22" s="504"/>
      <c r="U22" s="290"/>
      <c r="V22" s="290"/>
    </row>
    <row r="23" spans="2:22" ht="15" thickBot="1">
      <c r="B23" s="43" t="s">
        <v>19</v>
      </c>
      <c r="C23" s="360">
        <f>Rates!B77</f>
        <v>8.9300000000000004E-2</v>
      </c>
      <c r="D23" s="417"/>
      <c r="E23" s="417"/>
      <c r="F23" s="417"/>
      <c r="G23" s="43" t="s">
        <v>42</v>
      </c>
      <c r="H23" s="51" t="e">
        <f>ROUND(C14*C25,2)</f>
        <v>#DIV/0!</v>
      </c>
      <c r="I23" s="326"/>
      <c r="J23" s="43"/>
      <c r="K23" s="45"/>
      <c r="M23" s="43"/>
      <c r="N23" s="45"/>
      <c r="S23" s="502"/>
      <c r="T23" s="504"/>
      <c r="U23" s="290"/>
      <c r="V23" s="290"/>
    </row>
    <row r="24" spans="2:22" ht="16" thickBot="1">
      <c r="B24" s="43" t="s">
        <v>21</v>
      </c>
      <c r="C24" s="362">
        <f>Rates!B79</f>
        <v>0.13</v>
      </c>
      <c r="D24" s="326"/>
      <c r="E24" s="326"/>
      <c r="F24" s="326"/>
      <c r="G24" s="57" t="s">
        <v>43</v>
      </c>
      <c r="H24" s="58" t="e">
        <f>H22+H23</f>
        <v>#N/A</v>
      </c>
      <c r="I24" s="326"/>
      <c r="J24" s="57"/>
      <c r="K24" s="58"/>
      <c r="M24" s="57"/>
      <c r="N24" s="58"/>
      <c r="S24" s="290"/>
      <c r="T24" s="290"/>
      <c r="U24" s="290"/>
      <c r="V24" s="290"/>
    </row>
    <row r="25" spans="2:22" ht="15" thickBot="1">
      <c r="B25" s="56" t="s">
        <v>23</v>
      </c>
      <c r="C25" s="361" t="e">
        <f>IF(C12/C14&gt;0.63,0.2,IF(C12/C14&gt;0.1,0.1,0))</f>
        <v>#DIV/0!</v>
      </c>
      <c r="D25" s="326"/>
      <c r="E25" s="326"/>
      <c r="F25" s="326"/>
      <c r="G25" s="537" t="e">
        <f>IF(C9/C7&gt;40%,"VP Approval Required because packaging costs are greater than 40% of the total cost","")</f>
        <v>#DIV/0!</v>
      </c>
      <c r="H25" s="537"/>
      <c r="I25" s="537"/>
      <c r="J25" s="537"/>
      <c r="K25" s="537"/>
      <c r="S25" s="290"/>
      <c r="T25" s="290"/>
      <c r="U25" s="290"/>
      <c r="V25" s="290"/>
    </row>
    <row r="26" spans="2:22">
      <c r="D26" s="418"/>
      <c r="E26" s="418"/>
      <c r="F26" s="418"/>
      <c r="G26" s="537"/>
      <c r="H26" s="537"/>
      <c r="I26" s="537"/>
      <c r="J26" s="537"/>
      <c r="K26" s="537"/>
      <c r="S26" s="290"/>
      <c r="T26" s="290"/>
      <c r="U26" s="290"/>
      <c r="V26" s="290"/>
    </row>
    <row r="27" spans="2:22">
      <c r="D27" s="326"/>
      <c r="E27" s="326"/>
      <c r="F27" s="326"/>
      <c r="G27" s="417"/>
      <c r="H27" s="417"/>
      <c r="I27" s="417"/>
      <c r="J27" s="83"/>
    </row>
    <row r="28" spans="2:22">
      <c r="D28" s="326"/>
      <c r="E28" s="326"/>
      <c r="F28" s="326"/>
      <c r="G28" s="326"/>
      <c r="H28" s="326"/>
      <c r="I28" s="326"/>
      <c r="J28" s="82"/>
    </row>
    <row r="29" spans="2:22">
      <c r="D29" s="326"/>
      <c r="E29" s="326"/>
      <c r="F29" s="326"/>
      <c r="G29" s="417"/>
      <c r="H29" s="417"/>
      <c r="I29" s="417"/>
      <c r="J29" s="82"/>
    </row>
    <row r="30" spans="2:22">
      <c r="D30" s="417"/>
      <c r="E30" s="417"/>
      <c r="F30" s="417"/>
      <c r="G30" s="326"/>
      <c r="H30" s="326"/>
      <c r="I30" s="326"/>
      <c r="J30" s="75"/>
      <c r="K30" s="75"/>
      <c r="L30" s="75"/>
      <c r="M30" s="75"/>
      <c r="N30" s="75"/>
      <c r="P30" s="75"/>
      <c r="Q30" s="75"/>
      <c r="R30" s="75"/>
      <c r="S30" s="75"/>
      <c r="T30" s="75"/>
      <c r="U30" s="75"/>
      <c r="V30" s="75"/>
    </row>
    <row r="31" spans="2:22" ht="15" hidden="1" customHeight="1">
      <c r="B31" s="1" t="s">
        <v>44</v>
      </c>
      <c r="C31" s="23" t="e">
        <f>ROUND(((N19-N16-N14-N15)*C13)/N9-1,4)</f>
        <v>#N/A</v>
      </c>
      <c r="D31" s="23"/>
      <c r="E31" s="326"/>
      <c r="F31" s="326"/>
      <c r="G31" s="326"/>
      <c r="H31" s="326"/>
      <c r="I31" s="326"/>
      <c r="J31" s="75"/>
      <c r="K31" s="75"/>
      <c r="L31" s="75"/>
      <c r="M31" s="75"/>
      <c r="N31" s="75"/>
      <c r="P31" s="75"/>
      <c r="Q31" s="75"/>
      <c r="R31" s="75"/>
      <c r="S31" s="75"/>
      <c r="T31" s="75"/>
      <c r="U31" s="75"/>
      <c r="V31" s="75"/>
    </row>
    <row r="32" spans="2:22" hidden="1">
      <c r="B32" s="1" t="s">
        <v>45</v>
      </c>
      <c r="C32" s="30" t="e">
        <f>ROUND(+H20-(N9/C13),4)</f>
        <v>#N/A</v>
      </c>
      <c r="D32" s="30"/>
      <c r="E32" s="417"/>
      <c r="F32" s="417"/>
      <c r="G32" s="326"/>
      <c r="H32" s="326"/>
      <c r="I32" s="326"/>
      <c r="J32" s="9"/>
      <c r="K32" s="75"/>
      <c r="L32" s="75"/>
      <c r="M32" s="75"/>
      <c r="N32" s="75"/>
      <c r="P32" s="75"/>
      <c r="Q32" s="75"/>
      <c r="R32" s="75"/>
      <c r="S32" s="75"/>
      <c r="T32" s="75"/>
      <c r="U32" s="75"/>
      <c r="V32" s="75"/>
    </row>
    <row r="33" spans="2:22" s="75" customFormat="1" hidden="1">
      <c r="B33" s="1" t="s">
        <v>46</v>
      </c>
      <c r="C33" s="20" t="e">
        <f>ROUND(C32/N17,3)</f>
        <v>#N/A</v>
      </c>
      <c r="D33" s="20"/>
      <c r="E33" s="326"/>
      <c r="F33" s="326"/>
      <c r="G33" s="6"/>
      <c r="H33" s="6"/>
      <c r="I33" s="419"/>
      <c r="J33" s="14"/>
      <c r="K33" s="1"/>
      <c r="L33" s="1"/>
      <c r="M33" s="1"/>
      <c r="N33" s="1"/>
      <c r="P33" s="1"/>
      <c r="Q33" s="1"/>
      <c r="R33" s="1"/>
      <c r="S33" s="1"/>
      <c r="T33" s="1"/>
      <c r="U33" s="1"/>
      <c r="V33" s="1"/>
    </row>
    <row r="34" spans="2:22" s="75" customFormat="1" hidden="1">
      <c r="B34" s="1"/>
      <c r="C34" s="20"/>
      <c r="D34" s="20"/>
      <c r="E34" s="326"/>
      <c r="F34" s="326"/>
      <c r="G34" s="6"/>
      <c r="H34" s="6"/>
      <c r="I34" s="326"/>
      <c r="J34" s="14"/>
      <c r="K34" s="1"/>
      <c r="L34" s="1"/>
      <c r="M34" s="1"/>
      <c r="N34" s="1"/>
      <c r="P34" s="1"/>
      <c r="Q34" s="1"/>
      <c r="R34" s="1"/>
      <c r="S34" s="1"/>
      <c r="T34" s="1"/>
      <c r="U34" s="1"/>
      <c r="V34" s="1"/>
    </row>
    <row r="35" spans="2:22" s="75" customFormat="1" hidden="1">
      <c r="B35" s="1" t="s">
        <v>48</v>
      </c>
      <c r="C35" s="85" t="e">
        <f>C37-C36</f>
        <v>#N/A</v>
      </c>
      <c r="D35" s="85"/>
      <c r="E35" s="326"/>
      <c r="F35" s="326"/>
      <c r="G35" s="325"/>
      <c r="H35" s="325"/>
      <c r="I35" s="325"/>
      <c r="J35" s="87"/>
      <c r="K35" s="1"/>
      <c r="L35" s="1"/>
      <c r="M35" s="1"/>
      <c r="N35" s="1"/>
      <c r="P35" s="1"/>
      <c r="Q35" s="1"/>
      <c r="R35" s="1"/>
      <c r="S35" s="1"/>
      <c r="T35" s="1"/>
      <c r="U35" s="1"/>
      <c r="V35" s="1"/>
    </row>
    <row r="36" spans="2:22" hidden="1">
      <c r="B36" s="1" t="s">
        <v>21</v>
      </c>
      <c r="C36" s="85" t="e">
        <f>ROUND(C37*C24/(1+C24),2)</f>
        <v>#N/A</v>
      </c>
      <c r="D36" s="85"/>
      <c r="G36" s="335"/>
      <c r="H36" s="335"/>
      <c r="I36" s="335"/>
    </row>
    <row r="37" spans="2:22" hidden="1">
      <c r="B37" s="1" t="s">
        <v>49</v>
      </c>
      <c r="C37" s="85" t="e">
        <f>IF(MOD(N19*1000,50)&gt;24.99,CEILING(N19,0.05),FLOOR(N19,0.05))</f>
        <v>#N/A</v>
      </c>
      <c r="D37" s="85"/>
      <c r="G37" s="325"/>
      <c r="H37" s="325"/>
      <c r="I37" s="325"/>
    </row>
    <row r="38" spans="2:22" ht="15.5" hidden="1">
      <c r="E38" s="325"/>
      <c r="F38" s="325"/>
      <c r="G38" s="336"/>
      <c r="H38" s="336"/>
      <c r="I38" s="336"/>
      <c r="J38" s="23"/>
    </row>
    <row r="39" spans="2:22" hidden="1">
      <c r="B39" s="9" t="s">
        <v>47</v>
      </c>
      <c r="C39" s="88" t="e">
        <f>ROUND(((C35-N16-N14-N15)*C13)/N9-1,4)</f>
        <v>#N/A</v>
      </c>
      <c r="D39" s="88"/>
      <c r="E39" s="335"/>
      <c r="F39" s="335"/>
    </row>
    <row r="40" spans="2:22">
      <c r="E40" s="325"/>
      <c r="F40" s="325"/>
      <c r="G40" s="23"/>
      <c r="H40" s="23"/>
      <c r="I40" s="23"/>
    </row>
    <row r="41" spans="2:22" ht="15.5">
      <c r="D41" s="336"/>
      <c r="E41" s="336"/>
      <c r="F41" s="336"/>
      <c r="G41" s="30"/>
      <c r="H41" s="30"/>
      <c r="I41" s="30"/>
    </row>
    <row r="42" spans="2:22">
      <c r="G42" s="20"/>
      <c r="H42" s="20"/>
      <c r="I42" s="20"/>
    </row>
    <row r="43" spans="2:22">
      <c r="E43" s="23"/>
      <c r="F43" s="23"/>
      <c r="G43" s="20"/>
      <c r="H43" s="20"/>
      <c r="I43" s="20"/>
    </row>
    <row r="44" spans="2:22">
      <c r="E44" s="30"/>
      <c r="F44" s="30"/>
      <c r="G44" s="85"/>
      <c r="H44" s="85"/>
      <c r="I44" s="85"/>
    </row>
    <row r="45" spans="2:22">
      <c r="E45" s="20"/>
      <c r="F45" s="20"/>
      <c r="G45" s="85"/>
      <c r="H45" s="85"/>
      <c r="I45" s="85"/>
    </row>
    <row r="46" spans="2:22">
      <c r="E46" s="20"/>
      <c r="F46" s="20"/>
      <c r="G46" s="85"/>
      <c r="H46" s="85"/>
      <c r="I46" s="85"/>
    </row>
    <row r="47" spans="2:22">
      <c r="E47" s="85"/>
      <c r="F47" s="85"/>
    </row>
    <row r="48" spans="2:22">
      <c r="E48" s="85"/>
      <c r="F48" s="85"/>
      <c r="G48" s="88"/>
      <c r="H48" s="88"/>
      <c r="I48" s="88"/>
    </row>
    <row r="49" spans="5:6">
      <c r="E49" s="85"/>
      <c r="F49" s="85"/>
    </row>
    <row r="51" spans="5:6">
      <c r="E51" s="88"/>
      <c r="F51" s="88"/>
    </row>
  </sheetData>
  <sheetProtection formatColumns="0" autoFilter="0" pivotTables="0"/>
  <protectedRanges>
    <protectedRange sqref="C10:C15" name="Range1_1"/>
    <protectedRange password="CCE3" sqref="B25" name="Range3"/>
    <protectedRange sqref="C19" name="Range1_1_1"/>
    <protectedRange password="CCE3" sqref="D21" name="Range3_3"/>
  </protectedRanges>
  <mergeCells count="3">
    <mergeCell ref="G25:K26"/>
    <mergeCell ref="D15:E15"/>
    <mergeCell ref="D21:E21"/>
  </mergeCells>
  <conditionalFormatting sqref="E16">
    <cfRule type="cellIs" dxfId="26" priority="4" operator="lessThan">
      <formula>0</formula>
    </cfRule>
    <cfRule type="cellIs" dxfId="25" priority="5" operator="greaterThan">
      <formula>0</formula>
    </cfRule>
    <cfRule type="cellIs" dxfId="24" priority="6" operator="greaterThan">
      <formula>0</formula>
    </cfRule>
  </conditionalFormatting>
  <conditionalFormatting sqref="E22">
    <cfRule type="cellIs" dxfId="23" priority="1" operator="lessThan">
      <formula>0</formula>
    </cfRule>
    <cfRule type="cellIs" dxfId="22" priority="2" operator="greaterThan">
      <formula>0</formula>
    </cfRule>
    <cfRule type="cellIs" dxfId="21" priority="3" operator="greaterThan">
      <formula>0</formula>
    </cfRule>
  </conditionalFormatting>
  <pageMargins left="0.7" right="0.7" top="0.75" bottom="0.75" header="0.3" footer="0.3"/>
  <pageSetup scale="89" orientation="portrait" r:id="rId1"/>
  <colBreaks count="2" manualBreakCount="2">
    <brk id="6" max="50" man="1"/>
    <brk id="11" max="1048575" man="1"/>
  </colBreaks>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83742620-86FE-4F4D-B496-BCDCED91328C}">
          <x14:formula1>
            <xm:f>Rates!$A$94:$A$95</xm:f>
          </x14:formula1>
          <xm:sqref>C5 G5:H5</xm:sqref>
        </x14:dataValidation>
        <x14:dataValidation type="list" allowBlank="1" showInputMessage="1" showErrorMessage="1" xr:uid="{58231D63-CDC4-40D7-A445-6D6A13D81206}">
          <x14:formula1>
            <xm:f>Rates!$A$125:$A$128</xm:f>
          </x14:formula1>
          <xm:sqref>C4 G4:H4</xm:sqref>
        </x14:dataValidation>
        <x14:dataValidation type="list" showInputMessage="1" showErrorMessage="1" prompt="Pick from drop-down list_x000a_" xr:uid="{EE3D5136-5765-4960-BC5F-D57788522DF4}">
          <x14:formula1>
            <xm:f>Rates!$B$142:$B$147</xm:f>
          </x14:formula1>
          <xm:sqref>C6 G6:H6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535A-41A7-41CC-BAE9-67F115DCA9D5}">
  <sheetPr codeName="Sheet11">
    <tabColor theme="9" tint="0.39997558519241921"/>
  </sheetPr>
  <dimension ref="B1:V51"/>
  <sheetViews>
    <sheetView zoomScale="85" zoomScaleNormal="85" workbookViewId="0">
      <selection activeCell="B1" sqref="B1"/>
    </sheetView>
  </sheetViews>
  <sheetFormatPr defaultColWidth="7.4609375" defaultRowHeight="14.5"/>
  <cols>
    <col min="1" max="1" width="1.765625" style="1" customWidth="1"/>
    <col min="2" max="2" width="23.3046875" style="1" customWidth="1"/>
    <col min="3" max="3" width="20.69140625" style="6" customWidth="1"/>
    <col min="4" max="4" width="9.69140625" style="6" customWidth="1"/>
    <col min="5" max="5" width="11.3046875" style="6" customWidth="1"/>
    <col min="6" max="6" width="1.765625" style="6" customWidth="1"/>
    <col min="7" max="7" width="26.69140625" style="6" bestFit="1" customWidth="1"/>
    <col min="8" max="8" width="20.765625" style="6" customWidth="1"/>
    <col min="9" max="9" width="1.765625" style="6" customWidth="1"/>
    <col min="10" max="10" width="19.765625" style="1" bestFit="1" customWidth="1"/>
    <col min="11" max="11" width="20.765625" style="1" customWidth="1"/>
    <col min="12" max="12" width="1.765625" style="1" customWidth="1"/>
    <col min="13" max="13" width="19.765625" style="1" bestFit="1" customWidth="1"/>
    <col min="14" max="14" width="20.765625" style="1" customWidth="1"/>
    <col min="15" max="15" width="1.765625" style="1" customWidth="1"/>
    <col min="16" max="16" width="20.07421875" style="1" bestFit="1" customWidth="1"/>
    <col min="17" max="17" width="10.765625" style="1" customWidth="1"/>
    <col min="18" max="18" width="4.07421875" style="1" customWidth="1"/>
    <col min="19" max="19" width="22.4609375" style="1" customWidth="1"/>
    <col min="20" max="20" width="9.23046875" style="1" customWidth="1"/>
    <col min="21" max="21" width="16.765625" style="1" customWidth="1"/>
    <col min="22" max="22" width="10.4609375" style="1" customWidth="1"/>
    <col min="23" max="16384" width="7.4609375" style="1"/>
  </cols>
  <sheetData>
    <row r="1" spans="2:22" ht="18.5">
      <c r="B1" s="174" t="s">
        <v>507</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97</v>
      </c>
      <c r="C4" s="399"/>
      <c r="G4" s="65" t="s">
        <v>55</v>
      </c>
      <c r="H4" s="99"/>
      <c r="J4" s="65" t="s">
        <v>91</v>
      </c>
      <c r="K4" s="99"/>
      <c r="M4" s="65" t="s">
        <v>92</v>
      </c>
      <c r="N4" s="99"/>
      <c r="P4" s="291" t="s">
        <v>300</v>
      </c>
      <c r="Q4" s="25"/>
      <c r="R4" s="292"/>
      <c r="S4" s="25"/>
      <c r="T4" s="25"/>
      <c r="U4" s="25"/>
      <c r="V4" s="115"/>
    </row>
    <row r="5" spans="2:22" ht="15" thickBot="1">
      <c r="B5" s="32" t="s">
        <v>5</v>
      </c>
      <c r="C5" s="400"/>
      <c r="G5" s="40" t="s">
        <v>28</v>
      </c>
      <c r="H5" s="41">
        <f t="shared" ref="H5:H11" si="0">K5+N5</f>
        <v>0</v>
      </c>
      <c r="J5" s="40" t="s">
        <v>93</v>
      </c>
      <c r="K5" s="41">
        <f>C9*C10</f>
        <v>0</v>
      </c>
      <c r="L5" s="62"/>
      <c r="M5" s="40" t="s">
        <v>94</v>
      </c>
      <c r="N5" s="41">
        <f>ROUND(C8*C10,4)</f>
        <v>0</v>
      </c>
      <c r="P5" s="299"/>
      <c r="Q5" s="300"/>
      <c r="R5" s="300"/>
      <c r="S5" s="300"/>
      <c r="T5" s="300"/>
      <c r="U5" s="300"/>
      <c r="V5" s="301"/>
    </row>
    <row r="6" spans="2:22" ht="15" thickBot="1">
      <c r="B6" s="220" t="s">
        <v>9</v>
      </c>
      <c r="C6" s="400"/>
      <c r="G6" s="27" t="s">
        <v>30</v>
      </c>
      <c r="H6" s="288" t="e">
        <f t="shared" si="0"/>
        <v>#N/A</v>
      </c>
      <c r="J6" s="27" t="s">
        <v>30</v>
      </c>
      <c r="K6" s="49">
        <v>0</v>
      </c>
      <c r="M6" s="27" t="s">
        <v>30</v>
      </c>
      <c r="N6" s="42" t="e">
        <f>IF(C4=Rates!A66, ROUND(C13*C12*C15*C18,4),ROUND(+C13*C12*C18,4))</f>
        <v>#N/A</v>
      </c>
      <c r="P6" s="293"/>
      <c r="Q6" s="294"/>
      <c r="R6" s="294"/>
      <c r="S6" s="294"/>
      <c r="T6" s="294"/>
      <c r="U6" s="294"/>
      <c r="V6" s="295"/>
    </row>
    <row r="7" spans="2:22" ht="15" thickBot="1">
      <c r="B7" s="32" t="s">
        <v>467</v>
      </c>
      <c r="C7" s="401"/>
      <c r="G7" s="27" t="s">
        <v>29</v>
      </c>
      <c r="H7" s="288">
        <f t="shared" si="0"/>
        <v>0</v>
      </c>
      <c r="J7" s="27" t="s">
        <v>29</v>
      </c>
      <c r="K7" s="49">
        <v>0</v>
      </c>
      <c r="M7" s="27" t="s">
        <v>29</v>
      </c>
      <c r="N7" s="42" t="b">
        <f>IF(C4=Rates!A66,ROUND(C13*C12*C15*C19,4),IF(C4=Rates!A67,ROUND((C19*C26),4),IF(C4=Rates!A69,ROUND((C19*C26),4),IF(C4=Rates!A70,ROUND(+N5*C19,4),IF(C4=Rates!A71,ROUND(+C14*C13,4)*C19)))))</f>
        <v>0</v>
      </c>
      <c r="P7" s="293"/>
      <c r="Q7" s="294"/>
      <c r="R7" s="294"/>
      <c r="S7" s="294"/>
      <c r="T7" s="294"/>
      <c r="U7" s="294"/>
      <c r="V7" s="295"/>
    </row>
    <row r="8" spans="2:22" ht="15" thickBot="1">
      <c r="B8" s="100" t="s">
        <v>89</v>
      </c>
      <c r="C8" s="401"/>
      <c r="G8" s="43" t="s">
        <v>16</v>
      </c>
      <c r="H8" s="42">
        <f t="shared" si="0"/>
        <v>0</v>
      </c>
      <c r="J8" s="43" t="s">
        <v>16</v>
      </c>
      <c r="K8" s="49">
        <v>0</v>
      </c>
      <c r="M8" s="43" t="s">
        <v>16</v>
      </c>
      <c r="N8" s="42">
        <f>C11</f>
        <v>0</v>
      </c>
      <c r="P8" s="293"/>
      <c r="Q8" s="294"/>
      <c r="R8" s="294"/>
      <c r="S8" s="294"/>
      <c r="T8" s="294"/>
      <c r="U8" s="294"/>
      <c r="V8" s="295"/>
    </row>
    <row r="9" spans="2:22" ht="15" customHeight="1" thickBot="1">
      <c r="B9" s="100" t="s">
        <v>90</v>
      </c>
      <c r="C9" s="401"/>
      <c r="G9" s="43" t="s">
        <v>31</v>
      </c>
      <c r="H9" s="44" t="e">
        <f t="shared" si="0"/>
        <v>#N/A</v>
      </c>
      <c r="J9" s="43" t="s">
        <v>31</v>
      </c>
      <c r="K9" s="104">
        <f>SUM(K5:K8)</f>
        <v>0</v>
      </c>
      <c r="M9" s="43" t="s">
        <v>31</v>
      </c>
      <c r="N9" s="44" t="e">
        <f>SUM(N5:N8)</f>
        <v>#N/A</v>
      </c>
      <c r="P9" s="293"/>
      <c r="Q9" s="294"/>
      <c r="R9" s="294"/>
      <c r="S9" s="294"/>
      <c r="T9" s="294"/>
      <c r="U9" s="294"/>
      <c r="V9" s="295"/>
    </row>
    <row r="10" spans="2:22" ht="15.75" customHeight="1" thickBot="1">
      <c r="B10" s="220" t="s">
        <v>14</v>
      </c>
      <c r="C10" s="402"/>
      <c r="G10" s="43" t="s">
        <v>57</v>
      </c>
      <c r="H10" s="45" t="e">
        <f t="shared" si="0"/>
        <v>#N/A</v>
      </c>
      <c r="J10" s="43" t="s">
        <v>57</v>
      </c>
      <c r="K10" s="49">
        <v>0</v>
      </c>
      <c r="M10" s="43" t="s">
        <v>57</v>
      </c>
      <c r="N10" s="45" t="e">
        <f>ROUND(N9*C20,4)</f>
        <v>#N/A</v>
      </c>
      <c r="P10" s="293"/>
      <c r="Q10" s="294"/>
      <c r="R10" s="294"/>
      <c r="S10" s="294"/>
      <c r="T10" s="294"/>
      <c r="U10" s="294"/>
      <c r="V10" s="295"/>
    </row>
    <row r="11" spans="2:22" ht="15" thickBot="1">
      <c r="B11" s="222" t="s">
        <v>16</v>
      </c>
      <c r="C11" s="401"/>
      <c r="G11" s="43" t="s">
        <v>58</v>
      </c>
      <c r="H11" s="42" t="e">
        <f t="shared" si="0"/>
        <v>#N/A</v>
      </c>
      <c r="J11" s="43" t="s">
        <v>58</v>
      </c>
      <c r="K11" s="49">
        <f>SUM(K9:K10)</f>
        <v>0</v>
      </c>
      <c r="M11" s="43" t="s">
        <v>58</v>
      </c>
      <c r="N11" s="42" t="e">
        <f>SUM(N9:N10)</f>
        <v>#N/A</v>
      </c>
      <c r="P11" s="293"/>
      <c r="Q11" s="294"/>
      <c r="R11" s="294"/>
      <c r="S11" s="294"/>
      <c r="T11" s="294"/>
      <c r="U11" s="294"/>
      <c r="V11" s="295"/>
    </row>
    <row r="12" spans="2:22" ht="15" thickBot="1">
      <c r="B12" s="221" t="s">
        <v>18</v>
      </c>
      <c r="C12" s="403"/>
      <c r="G12" s="43"/>
      <c r="H12" s="80"/>
      <c r="J12" s="43"/>
      <c r="K12" s="86"/>
      <c r="M12" s="43"/>
      <c r="N12" s="80"/>
      <c r="P12" s="293"/>
      <c r="Q12" s="294"/>
      <c r="R12" s="294"/>
      <c r="S12" s="294"/>
      <c r="T12" s="294"/>
      <c r="U12" s="294"/>
      <c r="V12" s="295"/>
    </row>
    <row r="13" spans="2:22" ht="15" thickBot="1">
      <c r="B13" s="220" t="s">
        <v>20</v>
      </c>
      <c r="C13" s="404"/>
      <c r="G13" s="43" t="s">
        <v>35</v>
      </c>
      <c r="H13" s="45" t="e">
        <f t="shared" ref="H13:H19" si="1">K13+N13</f>
        <v>#DIV/0!</v>
      </c>
      <c r="J13" s="43" t="s">
        <v>35</v>
      </c>
      <c r="K13" s="49" t="e">
        <f>ROUND(K11/C13,4)</f>
        <v>#DIV/0!</v>
      </c>
      <c r="M13" s="43" t="s">
        <v>35</v>
      </c>
      <c r="N13" s="45" t="e">
        <f>ROUND(N11/C13,4)</f>
        <v>#N/A</v>
      </c>
      <c r="P13" s="293"/>
      <c r="Q13" s="294"/>
      <c r="R13" s="294"/>
      <c r="S13" s="294"/>
      <c r="T13" s="294"/>
      <c r="U13" s="294"/>
      <c r="V13" s="295"/>
    </row>
    <row r="14" spans="2:22" ht="15" thickBot="1">
      <c r="B14" s="220" t="s">
        <v>22</v>
      </c>
      <c r="C14" s="404"/>
      <c r="G14" s="43" t="s">
        <v>36</v>
      </c>
      <c r="H14" s="42">
        <f t="shared" si="1"/>
        <v>0</v>
      </c>
      <c r="J14" s="43" t="s">
        <v>36</v>
      </c>
      <c r="K14" s="49">
        <v>0</v>
      </c>
      <c r="M14" s="43" t="s">
        <v>36</v>
      </c>
      <c r="N14" s="42">
        <f>ROUND(C21*C12,4)</f>
        <v>0</v>
      </c>
      <c r="P14" s="293"/>
      <c r="Q14" s="294"/>
      <c r="R14" s="294"/>
      <c r="S14" s="294"/>
      <c r="T14" s="294"/>
      <c r="U14" s="294"/>
      <c r="V14" s="295"/>
    </row>
    <row r="15" spans="2:22" ht="15.75" customHeight="1" thickBot="1">
      <c r="B15" s="223" t="s">
        <v>24</v>
      </c>
      <c r="C15" s="444"/>
      <c r="D15" s="524" t="s">
        <v>306</v>
      </c>
      <c r="E15" s="525"/>
      <c r="G15" s="43" t="s">
        <v>37</v>
      </c>
      <c r="H15" s="42" t="e">
        <f t="shared" si="1"/>
        <v>#N/A</v>
      </c>
      <c r="J15" s="43" t="s">
        <v>37</v>
      </c>
      <c r="K15" s="49">
        <v>0</v>
      </c>
      <c r="M15" s="43" t="s">
        <v>37</v>
      </c>
      <c r="N15" s="42" t="e">
        <f>ROUND(C12*C25,4)</f>
        <v>#N/A</v>
      </c>
      <c r="P15" s="293"/>
      <c r="Q15" s="294"/>
      <c r="R15" s="294"/>
      <c r="S15" s="294"/>
      <c r="T15" s="294"/>
      <c r="U15" s="294"/>
      <c r="V15" s="295"/>
    </row>
    <row r="16" spans="2:22" ht="15" thickBot="1">
      <c r="B16" s="341" t="s">
        <v>26</v>
      </c>
      <c r="C16" s="383" t="e">
        <f>H24</f>
        <v>#N/A</v>
      </c>
      <c r="D16" s="440" t="e">
        <f>H22+H23</f>
        <v>#N/A</v>
      </c>
      <c r="E16" s="321" t="e">
        <f>C16-D16</f>
        <v>#N/A</v>
      </c>
      <c r="G16" s="43" t="s">
        <v>19</v>
      </c>
      <c r="H16" s="46">
        <f t="shared" si="1"/>
        <v>0</v>
      </c>
      <c r="J16" s="43" t="s">
        <v>19</v>
      </c>
      <c r="K16" s="104">
        <v>0</v>
      </c>
      <c r="M16" s="43" t="s">
        <v>19</v>
      </c>
      <c r="N16" s="46">
        <f>ROUND(C22*C14,4)</f>
        <v>0</v>
      </c>
      <c r="P16" s="296"/>
      <c r="Q16" s="297"/>
      <c r="R16" s="297"/>
      <c r="S16" s="297"/>
      <c r="T16" s="297"/>
      <c r="U16" s="297"/>
      <c r="V16" s="298"/>
    </row>
    <row r="17" spans="2:22" ht="15" thickBot="1">
      <c r="C17" s="25"/>
      <c r="G17" s="43" t="s">
        <v>38</v>
      </c>
      <c r="H17" s="45" t="e">
        <f t="shared" si="1"/>
        <v>#DIV/0!</v>
      </c>
      <c r="J17" s="43" t="s">
        <v>38</v>
      </c>
      <c r="K17" s="49" t="e">
        <f>SUM(K13:K16)</f>
        <v>#DIV/0!</v>
      </c>
      <c r="M17" s="43" t="s">
        <v>38</v>
      </c>
      <c r="N17" s="45" t="e">
        <f>SUM(N13:N16)</f>
        <v>#N/A</v>
      </c>
      <c r="R17" s="29"/>
      <c r="S17" s="18"/>
      <c r="T17" s="18"/>
    </row>
    <row r="18" spans="2:22">
      <c r="B18" s="52" t="s">
        <v>3</v>
      </c>
      <c r="C18" s="382" t="e">
        <f>IF(C6="Domestic",(VLOOKUP(C4,Rates!E18:G27,3,FALSE)),(VLOOKUP(C4,Rates!E18:F27,2,FALSE)))</f>
        <v>#N/A</v>
      </c>
      <c r="G18" s="43" t="s">
        <v>21</v>
      </c>
      <c r="H18" s="44" t="e">
        <f t="shared" si="1"/>
        <v>#DIV/0!</v>
      </c>
      <c r="J18" s="43" t="s">
        <v>21</v>
      </c>
      <c r="K18" s="104" t="e">
        <f>ROUND(K17*C23,4)</f>
        <v>#DIV/0!</v>
      </c>
      <c r="M18" s="43" t="s">
        <v>21</v>
      </c>
      <c r="N18" s="44" t="e">
        <f>ROUND(N17*C23,4)</f>
        <v>#N/A</v>
      </c>
    </row>
    <row r="19" spans="2:22">
      <c r="B19" s="43" t="s">
        <v>7</v>
      </c>
      <c r="C19" s="359">
        <f>IF(C5="Y",0,(IF(C6="Domestic",0,IF(C4="Still Cider",Rates!B130,IF(C4="Sparkling Cider",Rates!B131,Rates!B132)))))</f>
        <v>0.12280000000000001</v>
      </c>
      <c r="D19" s="524" t="s">
        <v>301</v>
      </c>
      <c r="E19" s="525"/>
      <c r="F19" s="330"/>
      <c r="G19" s="43" t="s">
        <v>39</v>
      </c>
      <c r="H19" s="45" t="e">
        <f t="shared" si="1"/>
        <v>#DIV/0!</v>
      </c>
      <c r="I19" s="330"/>
      <c r="J19" s="43" t="s">
        <v>39</v>
      </c>
      <c r="K19" s="49" t="e">
        <f>SUM(K17:K18)</f>
        <v>#DIV/0!</v>
      </c>
      <c r="M19" s="43" t="s">
        <v>39</v>
      </c>
      <c r="N19" s="45" t="e">
        <f>SUM(N17:N18)</f>
        <v>#N/A</v>
      </c>
      <c r="P19" s="75"/>
      <c r="Q19" s="75"/>
      <c r="R19" s="75"/>
      <c r="S19" s="75"/>
      <c r="T19" s="75"/>
    </row>
    <row r="20" spans="2:22">
      <c r="B20" s="43" t="s">
        <v>99</v>
      </c>
      <c r="C20" s="362" t="e">
        <f>VLOOKUP(C4,Rates!A66:B71,2,0)</f>
        <v>#N/A</v>
      </c>
      <c r="D20" s="322" t="e">
        <f>C40</f>
        <v>#N/A</v>
      </c>
      <c r="E20" s="321" t="e">
        <f>D20-C20</f>
        <v>#N/A</v>
      </c>
      <c r="F20" s="327"/>
      <c r="G20" s="337" t="s">
        <v>305</v>
      </c>
      <c r="H20" s="49" t="e">
        <f>H22-H21</f>
        <v>#N/A</v>
      </c>
      <c r="I20" s="327"/>
      <c r="J20" s="43"/>
      <c r="K20" s="45"/>
      <c r="L20" s="75"/>
      <c r="M20" s="48"/>
      <c r="N20" s="49"/>
      <c r="P20" s="75"/>
      <c r="Q20" s="75"/>
      <c r="R20" s="75"/>
      <c r="S20" s="75"/>
      <c r="T20" s="75"/>
    </row>
    <row r="21" spans="2:22">
      <c r="B21" s="43" t="s">
        <v>100</v>
      </c>
      <c r="C21" s="360">
        <f>IF(C4=Rates!A66,Rates!B54,Rates!B55)</f>
        <v>0.28000000000000003</v>
      </c>
      <c r="D21" s="327"/>
      <c r="E21" s="327"/>
      <c r="F21" s="327"/>
      <c r="G21" s="337" t="s">
        <v>21</v>
      </c>
      <c r="H21" s="78" t="e">
        <f>ROUND(H22*C23/(1+C23),2)</f>
        <v>#N/A</v>
      </c>
      <c r="I21" s="327"/>
      <c r="J21" s="43"/>
      <c r="K21" s="45"/>
      <c r="M21" s="48"/>
      <c r="N21" s="49"/>
      <c r="P21" s="75"/>
      <c r="Q21" s="75"/>
      <c r="R21" s="75"/>
      <c r="S21" s="75"/>
      <c r="T21" s="75"/>
    </row>
    <row r="22" spans="2:22">
      <c r="B22" s="43" t="s">
        <v>101</v>
      </c>
      <c r="C22" s="360">
        <f>Rates!B77</f>
        <v>8.9300000000000004E-2</v>
      </c>
      <c r="D22" s="327"/>
      <c r="E22" s="327"/>
      <c r="F22" s="327"/>
      <c r="G22" s="337" t="s">
        <v>49</v>
      </c>
      <c r="H22" s="50" t="e">
        <f>IF(C40&lt;C20,C38+0.05,C38)+K22</f>
        <v>#N/A</v>
      </c>
      <c r="I22" s="329"/>
      <c r="J22" s="48" t="s">
        <v>41</v>
      </c>
      <c r="K22" s="50" t="e">
        <f>CEILING(K19,0.05)</f>
        <v>#DIV/0!</v>
      </c>
      <c r="M22" s="48" t="s">
        <v>41</v>
      </c>
      <c r="N22" s="50" t="e">
        <f>CEILING(N19,0.05)</f>
        <v>#N/A</v>
      </c>
    </row>
    <row r="23" spans="2:22" ht="15" thickBot="1">
      <c r="B23" s="43" t="s">
        <v>21</v>
      </c>
      <c r="C23" s="362">
        <f>Rates!B79</f>
        <v>0.13</v>
      </c>
      <c r="D23" s="329"/>
      <c r="E23" s="329"/>
      <c r="F23" s="329"/>
      <c r="G23" s="43" t="s">
        <v>42</v>
      </c>
      <c r="H23" s="51" t="e">
        <f>ROUND(C14*C24,2)</f>
        <v>#DIV/0!</v>
      </c>
      <c r="I23" s="327"/>
      <c r="J23" s="27"/>
      <c r="K23" s="47"/>
      <c r="M23" s="43"/>
      <c r="N23" s="51"/>
    </row>
    <row r="24" spans="2:22" ht="16" thickBot="1">
      <c r="B24" s="43" t="s">
        <v>23</v>
      </c>
      <c r="C24" s="360" t="e">
        <f>IF(C12/C14&gt;0.63,0.2,IF(C12/C14&gt;0.1,0.1,0))</f>
        <v>#DIV/0!</v>
      </c>
      <c r="D24" s="330"/>
      <c r="E24" s="330"/>
      <c r="F24" s="330"/>
      <c r="G24" s="57" t="s">
        <v>43</v>
      </c>
      <c r="H24" s="58" t="e">
        <f>SUM(H22:H23)</f>
        <v>#N/A</v>
      </c>
      <c r="I24" s="330"/>
      <c r="J24" s="57"/>
      <c r="K24" s="58"/>
      <c r="M24" s="57"/>
      <c r="N24" s="58"/>
    </row>
    <row r="25" spans="2:22">
      <c r="B25" s="27" t="s">
        <v>95</v>
      </c>
      <c r="C25" s="360" t="e">
        <f>VLOOKUP(C4&amp;C6,Rates!C:D,2,FALSE)</f>
        <v>#N/A</v>
      </c>
      <c r="D25" s="327"/>
      <c r="E25" s="327"/>
      <c r="F25" s="327"/>
      <c r="G25" s="537" t="e">
        <f>IF(C9/C7&gt;40%,"VP Approval Required because packaging costs are greater than 40% of the total cost","")</f>
        <v>#DIV/0!</v>
      </c>
      <c r="H25" s="537"/>
      <c r="I25" s="537"/>
      <c r="J25" s="537"/>
      <c r="K25" s="537"/>
    </row>
    <row r="26" spans="2:22" ht="15" thickBot="1">
      <c r="B26" s="56" t="s">
        <v>25</v>
      </c>
      <c r="C26" s="368">
        <f>+ROUND(((C12*C13)*C15),4)</f>
        <v>0</v>
      </c>
      <c r="D26" s="331"/>
      <c r="E26" s="331"/>
      <c r="F26" s="331"/>
      <c r="G26" s="537"/>
      <c r="H26" s="537"/>
      <c r="I26" s="537"/>
      <c r="J26" s="537"/>
      <c r="K26" s="537"/>
    </row>
    <row r="27" spans="2:22">
      <c r="D27" s="330"/>
      <c r="E27" s="330"/>
      <c r="F27" s="330"/>
      <c r="G27" s="332"/>
      <c r="H27" s="332"/>
      <c r="I27" s="332"/>
      <c r="J27" s="82"/>
      <c r="O27" s="23"/>
    </row>
    <row r="28" spans="2:22">
      <c r="D28" s="327"/>
      <c r="E28" s="327"/>
      <c r="F28" s="327"/>
      <c r="G28" s="330"/>
      <c r="H28" s="330"/>
      <c r="I28" s="330"/>
      <c r="J28" s="82"/>
    </row>
    <row r="29" spans="2:22">
      <c r="D29" s="327"/>
      <c r="E29" s="327"/>
      <c r="F29" s="327"/>
      <c r="G29" s="329"/>
      <c r="H29" s="329"/>
      <c r="I29" s="329"/>
      <c r="J29" s="75"/>
      <c r="K29" s="75"/>
      <c r="L29" s="75"/>
      <c r="M29" s="75"/>
      <c r="N29" s="75"/>
      <c r="P29" s="23"/>
      <c r="U29" s="75"/>
      <c r="V29" s="75"/>
    </row>
    <row r="30" spans="2:22" ht="15" customHeight="1">
      <c r="D30" s="332"/>
      <c r="E30" s="332"/>
      <c r="F30" s="332"/>
      <c r="G30" s="330"/>
      <c r="H30" s="330"/>
      <c r="I30" s="330"/>
      <c r="J30" s="75"/>
      <c r="K30" s="75"/>
      <c r="L30" s="75"/>
      <c r="M30" s="75"/>
      <c r="N30" s="75"/>
      <c r="P30" s="23"/>
      <c r="U30" s="75"/>
      <c r="V30" s="75"/>
    </row>
    <row r="31" spans="2:22">
      <c r="D31" s="330"/>
      <c r="E31" s="330"/>
      <c r="F31" s="330"/>
      <c r="G31" s="330"/>
      <c r="H31" s="330"/>
      <c r="I31" s="330"/>
      <c r="J31" s="75"/>
      <c r="K31" s="75"/>
      <c r="L31" s="75"/>
      <c r="M31" s="75"/>
      <c r="N31" s="75"/>
      <c r="P31" s="23"/>
      <c r="U31" s="75"/>
      <c r="V31" s="75"/>
    </row>
    <row r="32" spans="2:22" s="75" customFormat="1" hidden="1">
      <c r="B32" s="1" t="s">
        <v>44</v>
      </c>
      <c r="C32" s="23" t="e">
        <f>ROUND(((H20-H16-H14-H15)*C13)/H9-1,4)</f>
        <v>#N/A</v>
      </c>
      <c r="D32" s="23"/>
      <c r="E32" s="23"/>
      <c r="F32" s="329"/>
      <c r="G32" s="326"/>
      <c r="H32" s="326"/>
      <c r="I32" s="326"/>
      <c r="J32" s="14"/>
      <c r="K32" s="1"/>
      <c r="L32" s="1"/>
      <c r="M32" s="1"/>
      <c r="N32" s="1"/>
      <c r="P32" s="23"/>
      <c r="Q32" s="1"/>
      <c r="R32" s="1"/>
      <c r="S32" s="1"/>
      <c r="T32" s="1"/>
      <c r="U32" s="1"/>
      <c r="V32" s="1"/>
    </row>
    <row r="33" spans="2:22" s="75" customFormat="1" hidden="1">
      <c r="B33" s="1" t="s">
        <v>45</v>
      </c>
      <c r="C33" s="30" t="e">
        <f>ROUND(+H20-(H9/C13),4)</f>
        <v>#N/A</v>
      </c>
      <c r="D33" s="30"/>
      <c r="E33" s="30"/>
      <c r="F33" s="330"/>
      <c r="G33" s="6"/>
      <c r="H33" s="6"/>
      <c r="I33" s="6"/>
      <c r="J33" s="14"/>
      <c r="K33" s="1"/>
      <c r="L33" s="1"/>
      <c r="M33" s="1"/>
      <c r="N33" s="1"/>
      <c r="P33" s="23"/>
      <c r="Q33" s="1"/>
      <c r="R33" s="1"/>
      <c r="S33" s="1"/>
      <c r="T33" s="1"/>
      <c r="U33" s="1"/>
      <c r="V33" s="1"/>
    </row>
    <row r="34" spans="2:22" s="75" customFormat="1" hidden="1">
      <c r="B34" s="1" t="s">
        <v>46</v>
      </c>
      <c r="C34" s="20" t="e">
        <f>ROUND(C33/H17,3)</f>
        <v>#N/A</v>
      </c>
      <c r="D34" s="20"/>
      <c r="E34" s="20"/>
      <c r="F34" s="330"/>
      <c r="G34" s="6"/>
      <c r="H34" s="6"/>
      <c r="I34" s="6"/>
      <c r="J34" s="87"/>
      <c r="K34" s="1"/>
      <c r="L34" s="1"/>
      <c r="M34" s="1"/>
      <c r="N34" s="1"/>
      <c r="P34" s="23"/>
      <c r="Q34" s="1"/>
      <c r="R34" s="1"/>
      <c r="S34" s="1"/>
      <c r="T34" s="1"/>
      <c r="U34" s="1"/>
      <c r="V34" s="1"/>
    </row>
    <row r="35" spans="2:22" hidden="1">
      <c r="C35" s="20"/>
      <c r="D35" s="20"/>
      <c r="E35" s="20"/>
      <c r="F35" s="326"/>
      <c r="G35" s="325"/>
      <c r="H35" s="325"/>
      <c r="I35" s="325"/>
      <c r="P35" s="23"/>
    </row>
    <row r="36" spans="2:22" hidden="1">
      <c r="B36" s="1" t="s">
        <v>48</v>
      </c>
      <c r="C36" s="85" t="e">
        <f>C38-C37</f>
        <v>#N/A</v>
      </c>
      <c r="D36" s="85"/>
      <c r="E36" s="85"/>
      <c r="G36" s="335"/>
      <c r="H36" s="335"/>
      <c r="I36" s="335"/>
    </row>
    <row r="37" spans="2:22" hidden="1">
      <c r="B37" s="1" t="s">
        <v>21</v>
      </c>
      <c r="C37" s="85" t="e">
        <f>ROUND(C38*C23/(1+C23),2)</f>
        <v>#N/A</v>
      </c>
      <c r="D37" s="85"/>
      <c r="E37" s="85"/>
      <c r="G37" s="325"/>
      <c r="H37" s="325"/>
      <c r="I37" s="325"/>
      <c r="J37" s="23"/>
    </row>
    <row r="38" spans="2:22" ht="15.5" hidden="1">
      <c r="B38" s="1" t="s">
        <v>49</v>
      </c>
      <c r="C38" s="85" t="e">
        <f>IF(MOD(N19*1000,50)&gt;24.99,CEILING(N19,0.05),FLOOR(N19,0.05))</f>
        <v>#N/A</v>
      </c>
      <c r="D38" s="85"/>
      <c r="E38" s="85"/>
      <c r="F38" s="325"/>
      <c r="G38" s="336"/>
      <c r="H38" s="336"/>
      <c r="I38" s="336"/>
      <c r="J38" s="23"/>
    </row>
    <row r="39" spans="2:22" hidden="1">
      <c r="F39" s="335"/>
      <c r="G39" s="23"/>
      <c r="H39" s="23"/>
      <c r="I39" s="23"/>
      <c r="J39" s="23"/>
      <c r="K39" s="23"/>
      <c r="L39" s="23"/>
      <c r="M39" s="23"/>
      <c r="N39" s="23"/>
      <c r="P39" s="23"/>
    </row>
    <row r="40" spans="2:22" hidden="1">
      <c r="B40" s="9" t="s">
        <v>47</v>
      </c>
      <c r="C40" s="88" t="e">
        <f>ROUND(((C36-H16-H14-H15)*C13)/H9-1,4)</f>
        <v>#N/A</v>
      </c>
      <c r="D40" s="88"/>
      <c r="E40" s="88"/>
      <c r="F40" s="325"/>
      <c r="G40" s="30"/>
      <c r="H40" s="30"/>
      <c r="I40" s="30"/>
      <c r="J40" s="23"/>
      <c r="K40" s="23"/>
      <c r="L40" s="23"/>
      <c r="M40" s="23"/>
      <c r="N40" s="23"/>
      <c r="P40" s="23"/>
    </row>
    <row r="41" spans="2:22" ht="15.5">
      <c r="D41" s="336"/>
      <c r="E41" s="336"/>
      <c r="F41" s="336"/>
      <c r="G41" s="20"/>
      <c r="H41" s="20"/>
      <c r="I41" s="20"/>
      <c r="J41" s="23"/>
      <c r="K41" s="23"/>
      <c r="L41" s="23"/>
      <c r="M41" s="23"/>
      <c r="N41" s="23"/>
      <c r="P41" s="23"/>
    </row>
    <row r="42" spans="2:22">
      <c r="C42" s="1"/>
      <c r="D42" s="1"/>
      <c r="E42" s="1"/>
      <c r="F42" s="23"/>
      <c r="G42" s="20"/>
      <c r="H42" s="20"/>
      <c r="I42" s="20"/>
      <c r="J42" s="23"/>
      <c r="K42" s="23"/>
      <c r="L42" s="23"/>
      <c r="M42" s="23"/>
      <c r="N42" s="23"/>
      <c r="O42" s="23"/>
      <c r="P42" s="23"/>
    </row>
    <row r="43" spans="2:22">
      <c r="C43" s="1"/>
      <c r="D43" s="1"/>
      <c r="E43" s="1"/>
      <c r="F43" s="30"/>
      <c r="G43" s="85"/>
      <c r="H43" s="85"/>
      <c r="I43" s="85"/>
      <c r="J43" s="23"/>
      <c r="K43" s="23"/>
      <c r="L43" s="23"/>
      <c r="M43" s="23"/>
      <c r="N43" s="23"/>
      <c r="O43" s="23"/>
      <c r="P43" s="23"/>
    </row>
    <row r="44" spans="2:22">
      <c r="C44" s="1"/>
      <c r="D44" s="1"/>
      <c r="E44" s="1"/>
      <c r="F44" s="20"/>
      <c r="G44" s="85"/>
      <c r="H44" s="85"/>
      <c r="I44" s="85"/>
      <c r="J44" s="23"/>
      <c r="K44" s="23"/>
      <c r="L44" s="23"/>
      <c r="M44" s="23"/>
      <c r="N44" s="23"/>
      <c r="O44" s="23"/>
      <c r="P44" s="23"/>
    </row>
    <row r="45" spans="2:22">
      <c r="C45" s="1"/>
      <c r="D45" s="1"/>
      <c r="E45" s="1"/>
      <c r="F45" s="20"/>
      <c r="G45" s="85"/>
      <c r="H45" s="85"/>
      <c r="I45" s="85"/>
      <c r="J45" s="23"/>
      <c r="K45" s="23"/>
      <c r="L45" s="23"/>
      <c r="M45" s="23"/>
      <c r="N45" s="23"/>
      <c r="O45" s="23"/>
      <c r="P45" s="23"/>
    </row>
    <row r="46" spans="2:22">
      <c r="C46" s="1"/>
      <c r="D46" s="1"/>
      <c r="E46" s="1"/>
      <c r="F46" s="85"/>
      <c r="J46" s="23"/>
      <c r="K46" s="23"/>
      <c r="L46" s="23"/>
      <c r="M46" s="23"/>
      <c r="N46" s="23"/>
      <c r="O46" s="23"/>
      <c r="P46" s="23"/>
    </row>
    <row r="47" spans="2:22">
      <c r="C47" s="1"/>
      <c r="D47" s="1"/>
      <c r="E47" s="1"/>
      <c r="F47" s="85"/>
      <c r="G47" s="88"/>
      <c r="H47" s="88"/>
      <c r="I47" s="88"/>
      <c r="K47" s="23"/>
      <c r="L47" s="23"/>
      <c r="M47" s="23"/>
      <c r="N47" s="23"/>
      <c r="O47" s="23"/>
      <c r="P47" s="23"/>
    </row>
    <row r="48" spans="2:22">
      <c r="C48" s="1"/>
      <c r="D48" s="1"/>
      <c r="E48" s="1"/>
      <c r="F48" s="85"/>
      <c r="K48" s="23"/>
      <c r="L48" s="23"/>
      <c r="M48" s="23"/>
      <c r="N48" s="23"/>
      <c r="O48" s="23"/>
    </row>
    <row r="49" spans="3:15">
      <c r="C49" s="1"/>
      <c r="D49" s="1"/>
      <c r="E49" s="1"/>
      <c r="K49" s="23"/>
      <c r="L49" s="23"/>
      <c r="O49" s="23"/>
    </row>
    <row r="50" spans="3:15">
      <c r="C50" s="1"/>
      <c r="D50" s="1"/>
      <c r="E50" s="1"/>
      <c r="F50" s="88"/>
      <c r="O50" s="23"/>
    </row>
    <row r="51" spans="3:15">
      <c r="O51" s="23"/>
    </row>
  </sheetData>
  <sheetProtection formatColumns="0" pivotTables="0"/>
  <protectedRanges>
    <protectedRange sqref="C19 C7 B4 C10" name="Range1_1"/>
    <protectedRange password="CCE3" sqref="B24" name="Range3"/>
    <protectedRange sqref="C11:C15" name="Range1_1_2"/>
    <protectedRange password="CCE3" sqref="D19" name="Range3_3"/>
  </protectedRanges>
  <mergeCells count="3">
    <mergeCell ref="G25:K26"/>
    <mergeCell ref="D15:E15"/>
    <mergeCell ref="D19:E19"/>
  </mergeCells>
  <conditionalFormatting sqref="E16">
    <cfRule type="cellIs" dxfId="20" priority="4" operator="lessThan">
      <formula>0</formula>
    </cfRule>
    <cfRule type="cellIs" dxfId="19" priority="5" operator="greaterThan">
      <formula>0</formula>
    </cfRule>
    <cfRule type="cellIs" dxfId="18" priority="6" operator="greaterThan">
      <formula>0</formula>
    </cfRule>
  </conditionalFormatting>
  <conditionalFormatting sqref="E20">
    <cfRule type="cellIs" dxfId="17" priority="1" operator="lessThan">
      <formula>0</formula>
    </cfRule>
    <cfRule type="cellIs" dxfId="16" priority="2" operator="greaterThan">
      <formula>0</formula>
    </cfRule>
    <cfRule type="cellIs" dxfId="15"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E746B68-32B1-4D9B-8343-A33140217433}">
          <x14:formula1>
            <xm:f>Rates!$A$66:$A$71</xm:f>
          </x14:formula1>
          <xm:sqref>C4</xm:sqref>
        </x14:dataValidation>
        <x14:dataValidation type="list" showInputMessage="1" showErrorMessage="1" prompt="Pick from drop-down list_x000a_" xr:uid="{1F5D13BB-4B1D-48A9-BE40-F65CB67941B5}">
          <x14:formula1>
            <xm:f>Rates!$A$94:$A$95</xm:f>
          </x14:formula1>
          <xm:sqref>C5</xm:sqref>
        </x14:dataValidation>
        <x14:dataValidation type="list" showInputMessage="1" showErrorMessage="1" prompt="Pick from drop-down list_x000a_" xr:uid="{687A1BBF-BE01-4FCD-83A6-040CFF888350}">
          <x14:formula1>
            <xm:f>Rates!$B$142:$B$147</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CFF9-5327-4636-BFB8-97BCA5F6485B}">
  <sheetPr codeName="Sheet12">
    <tabColor theme="9" tint="0.39997558519241921"/>
  </sheetPr>
  <dimension ref="B1:X91"/>
  <sheetViews>
    <sheetView zoomScale="85" zoomScaleNormal="85" workbookViewId="0">
      <selection activeCell="B1" sqref="B1"/>
    </sheetView>
  </sheetViews>
  <sheetFormatPr defaultColWidth="9.84375" defaultRowHeight="14.5"/>
  <cols>
    <col min="1" max="1" width="1.765625" style="1" customWidth="1"/>
    <col min="2" max="2" width="24.07421875" style="1" customWidth="1"/>
    <col min="3" max="3" width="20.69140625" style="1" customWidth="1"/>
    <col min="4" max="4" width="8.69140625" style="1" customWidth="1"/>
    <col min="5" max="5" width="11.07421875" style="1" customWidth="1"/>
    <col min="6" max="6" width="1.765625" style="1" customWidth="1"/>
    <col min="7" max="7" width="23" style="1" bestFit="1" customWidth="1"/>
    <col min="8" max="8" width="20.765625" style="1" customWidth="1"/>
    <col min="9" max="9" width="1.765625" style="1" customWidth="1"/>
    <col min="10" max="10" width="18.84375" style="1" bestFit="1" customWidth="1"/>
    <col min="11" max="11" width="20.765625" style="1" customWidth="1"/>
    <col min="12" max="12" width="1.765625" style="1" customWidth="1"/>
    <col min="13" max="13" width="18.84375" style="1" bestFit="1" customWidth="1"/>
    <col min="14" max="14" width="20.765625" style="1" customWidth="1"/>
    <col min="15" max="15" width="1.765625" style="1" customWidth="1"/>
    <col min="16" max="16" width="15" style="1" bestFit="1" customWidth="1"/>
    <col min="17" max="17" width="10.765625" style="1" customWidth="1"/>
    <col min="18" max="18" width="20.69140625" style="6" customWidth="1"/>
    <col min="19" max="19" width="7.84375" style="1" customWidth="1"/>
    <col min="20" max="20" width="14.4609375" style="1" customWidth="1"/>
    <col min="21" max="16384" width="9.84375" style="1"/>
  </cols>
  <sheetData>
    <row r="1" spans="2:24" ht="18.5">
      <c r="B1" s="174" t="s">
        <v>507</v>
      </c>
      <c r="C1" s="3"/>
      <c r="D1" s="3"/>
      <c r="E1" s="3"/>
      <c r="F1" s="3"/>
      <c r="G1" s="3"/>
      <c r="H1" s="3"/>
      <c r="I1" s="3"/>
      <c r="U1" s="6"/>
    </row>
    <row r="2" spans="2:24">
      <c r="B2" s="21"/>
      <c r="C2" s="6"/>
      <c r="D2" s="6"/>
      <c r="E2" s="6"/>
      <c r="F2" s="6"/>
      <c r="G2" s="6"/>
      <c r="H2" s="6"/>
      <c r="I2" s="6"/>
      <c r="K2" s="2"/>
      <c r="L2" s="4"/>
      <c r="T2" s="6"/>
    </row>
    <row r="3" spans="2:24" ht="15" thickBot="1">
      <c r="B3" s="59" t="s">
        <v>0</v>
      </c>
      <c r="C3" s="6"/>
      <c r="D3" s="6"/>
      <c r="E3" s="6"/>
      <c r="F3" s="6"/>
      <c r="I3" s="6"/>
      <c r="K3" s="2"/>
      <c r="L3" s="39"/>
      <c r="T3" s="6"/>
    </row>
    <row r="4" spans="2:24" ht="16" thickBot="1">
      <c r="B4" s="224" t="s">
        <v>61</v>
      </c>
      <c r="C4" s="406"/>
      <c r="D4" s="6"/>
      <c r="E4" s="6"/>
      <c r="F4" s="6"/>
      <c r="G4" s="65" t="s">
        <v>55</v>
      </c>
      <c r="H4" s="99"/>
      <c r="I4" s="6"/>
      <c r="J4" s="65" t="s">
        <v>91</v>
      </c>
      <c r="K4" s="99"/>
      <c r="L4" s="148"/>
      <c r="M4" s="65" t="s">
        <v>92</v>
      </c>
      <c r="N4" s="99"/>
      <c r="P4" s="291" t="s">
        <v>300</v>
      </c>
      <c r="Q4" s="25"/>
      <c r="R4" s="292"/>
      <c r="S4" s="25"/>
      <c r="T4" s="25"/>
      <c r="U4" s="25"/>
      <c r="V4" s="115"/>
    </row>
    <row r="5" spans="2:24" ht="15" thickBot="1">
      <c r="B5" s="33" t="s">
        <v>64</v>
      </c>
      <c r="C5" s="404"/>
      <c r="D5" s="6"/>
      <c r="E5" s="6"/>
      <c r="F5" s="6"/>
      <c r="G5" s="40" t="s">
        <v>28</v>
      </c>
      <c r="H5" s="41">
        <f>K5+N5</f>
        <v>0</v>
      </c>
      <c r="I5" s="6"/>
      <c r="J5" s="40" t="s">
        <v>93</v>
      </c>
      <c r="K5" s="41">
        <f>C8*C9</f>
        <v>0</v>
      </c>
      <c r="L5" s="62"/>
      <c r="M5" s="40" t="s">
        <v>94</v>
      </c>
      <c r="N5" s="66">
        <f>C7*C9</f>
        <v>0</v>
      </c>
      <c r="P5" s="299"/>
      <c r="Q5" s="300"/>
      <c r="R5" s="300"/>
      <c r="S5" s="300"/>
      <c r="T5" s="300"/>
      <c r="U5" s="300"/>
      <c r="V5" s="301"/>
    </row>
    <row r="6" spans="2:24" ht="15" thickBot="1">
      <c r="B6" s="33" t="s">
        <v>467</v>
      </c>
      <c r="C6" s="407"/>
      <c r="D6" s="6"/>
      <c r="E6" s="6"/>
      <c r="F6" s="6"/>
      <c r="G6" s="43" t="s">
        <v>30</v>
      </c>
      <c r="H6" s="429">
        <f>K6+N6</f>
        <v>0</v>
      </c>
      <c r="I6" s="6"/>
      <c r="J6" s="43" t="s">
        <v>30</v>
      </c>
      <c r="K6" s="66">
        <v>0</v>
      </c>
      <c r="L6" s="148"/>
      <c r="M6" s="43" t="s">
        <v>30</v>
      </c>
      <c r="N6" s="66">
        <f>ROUND(+C11*C12*C24,4)</f>
        <v>0</v>
      </c>
      <c r="P6" s="293"/>
      <c r="Q6" s="294"/>
      <c r="R6" s="294"/>
      <c r="S6" s="294"/>
      <c r="T6" s="294"/>
      <c r="U6" s="294"/>
      <c r="V6" s="295"/>
    </row>
    <row r="7" spans="2:24" ht="15" thickBot="1">
      <c r="B7" s="100" t="s">
        <v>89</v>
      </c>
      <c r="C7" s="401"/>
      <c r="D7" s="6"/>
      <c r="E7" s="6"/>
      <c r="F7" s="6"/>
      <c r="G7" s="43" t="s">
        <v>29</v>
      </c>
      <c r="H7" s="68">
        <f>K7+N7</f>
        <v>0</v>
      </c>
      <c r="I7" s="6"/>
      <c r="J7" s="43" t="s">
        <v>29</v>
      </c>
      <c r="K7" s="66">
        <v>0</v>
      </c>
      <c r="L7" s="148"/>
      <c r="M7" s="43" t="s">
        <v>29</v>
      </c>
      <c r="N7" s="66">
        <f>ROUND(+C11*C12*C25,4)</f>
        <v>0</v>
      </c>
      <c r="P7" s="293"/>
      <c r="Q7" s="294"/>
      <c r="R7" s="294"/>
      <c r="S7" s="294"/>
      <c r="T7" s="294"/>
      <c r="U7" s="294"/>
      <c r="V7" s="295"/>
      <c r="W7" s="6"/>
      <c r="X7" s="6"/>
    </row>
    <row r="8" spans="2:24" ht="15" thickBot="1">
      <c r="B8" s="100" t="s">
        <v>90</v>
      </c>
      <c r="C8" s="401"/>
      <c r="D8" s="6"/>
      <c r="E8" s="6"/>
      <c r="F8" s="6"/>
      <c r="G8" s="54" t="s">
        <v>71</v>
      </c>
      <c r="H8" s="427">
        <f>K8+N8</f>
        <v>0</v>
      </c>
      <c r="I8" s="6"/>
      <c r="J8" s="54" t="s">
        <v>71</v>
      </c>
      <c r="K8" s="173">
        <v>0</v>
      </c>
      <c r="L8" s="148"/>
      <c r="M8" s="54" t="s">
        <v>71</v>
      </c>
      <c r="N8" s="173">
        <f>C10</f>
        <v>0</v>
      </c>
      <c r="P8" s="293"/>
      <c r="Q8" s="294"/>
      <c r="R8" s="294"/>
      <c r="S8" s="294"/>
      <c r="T8" s="294"/>
      <c r="U8" s="294"/>
      <c r="V8" s="295"/>
      <c r="W8" s="6"/>
    </row>
    <row r="9" spans="2:24" ht="15" thickBot="1">
      <c r="B9" s="220" t="s">
        <v>14</v>
      </c>
      <c r="C9" s="408"/>
      <c r="D9" s="6"/>
      <c r="E9" s="6"/>
      <c r="F9" s="6"/>
      <c r="G9" s="43" t="s">
        <v>31</v>
      </c>
      <c r="H9" s="68">
        <f>SUM(H5:H8)</f>
        <v>0</v>
      </c>
      <c r="I9" s="6"/>
      <c r="J9" s="43" t="s">
        <v>31</v>
      </c>
      <c r="K9" s="66">
        <f>SUM(K5:K8)</f>
        <v>0</v>
      </c>
      <c r="L9" s="148"/>
      <c r="M9" s="43" t="s">
        <v>31</v>
      </c>
      <c r="N9" s="66">
        <f>SUM(N5:N8)</f>
        <v>0</v>
      </c>
      <c r="P9" s="293"/>
      <c r="Q9" s="294"/>
      <c r="R9" s="294"/>
      <c r="S9" s="294"/>
      <c r="T9" s="294"/>
      <c r="U9" s="294"/>
      <c r="V9" s="295"/>
      <c r="W9" s="6"/>
    </row>
    <row r="10" spans="2:24" ht="15" thickBot="1">
      <c r="B10" s="222" t="s">
        <v>16</v>
      </c>
      <c r="C10" s="407"/>
      <c r="D10" s="6"/>
      <c r="E10" s="6"/>
      <c r="F10" s="6"/>
      <c r="G10" s="43" t="s">
        <v>72</v>
      </c>
      <c r="H10" s="68">
        <f>K10+N10</f>
        <v>0</v>
      </c>
      <c r="I10" s="6"/>
      <c r="J10" s="43" t="s">
        <v>72</v>
      </c>
      <c r="K10" s="66">
        <v>0</v>
      </c>
      <c r="L10" s="148"/>
      <c r="M10" s="43" t="s">
        <v>72</v>
      </c>
      <c r="N10" s="66">
        <f>ROUND(+C17*C11*C12,4)</f>
        <v>0</v>
      </c>
      <c r="P10" s="293"/>
      <c r="Q10" s="294"/>
      <c r="R10" s="294"/>
      <c r="S10" s="294"/>
      <c r="T10" s="294"/>
      <c r="U10" s="294"/>
      <c r="V10" s="295"/>
    </row>
    <row r="11" spans="2:24" ht="15" thickBot="1">
      <c r="B11" s="221" t="s">
        <v>18</v>
      </c>
      <c r="C11" s="409"/>
      <c r="D11" s="6"/>
      <c r="E11" s="6"/>
      <c r="F11" s="6"/>
      <c r="G11" s="43" t="s">
        <v>73</v>
      </c>
      <c r="H11" s="68">
        <f>K11+N11</f>
        <v>0</v>
      </c>
      <c r="I11" s="6"/>
      <c r="J11" s="43" t="s">
        <v>73</v>
      </c>
      <c r="K11" s="66">
        <v>0</v>
      </c>
      <c r="M11" s="43" t="s">
        <v>73</v>
      </c>
      <c r="N11" s="66">
        <f>ROUND(+C18*C11*C12,4)</f>
        <v>0</v>
      </c>
      <c r="P11" s="293"/>
      <c r="Q11" s="294"/>
      <c r="R11" s="294"/>
      <c r="S11" s="294"/>
      <c r="T11" s="294"/>
      <c r="U11" s="294"/>
      <c r="V11" s="295"/>
    </row>
    <row r="12" spans="2:24" ht="15" thickBot="1">
      <c r="B12" s="220" t="s">
        <v>20</v>
      </c>
      <c r="C12" s="410"/>
      <c r="D12" s="6"/>
      <c r="E12" s="6"/>
      <c r="F12" s="6"/>
      <c r="G12" s="43" t="s">
        <v>57</v>
      </c>
      <c r="H12" s="428" t="e">
        <f>K12+N12</f>
        <v>#N/A</v>
      </c>
      <c r="I12" s="6"/>
      <c r="J12" s="43" t="s">
        <v>57</v>
      </c>
      <c r="K12" s="156">
        <v>0</v>
      </c>
      <c r="M12" s="43" t="s">
        <v>57</v>
      </c>
      <c r="N12" s="156" t="e">
        <f>ROUND((C11*C12)*C19,4)</f>
        <v>#N/A</v>
      </c>
      <c r="P12" s="293"/>
      <c r="Q12" s="294"/>
      <c r="R12" s="294"/>
      <c r="S12" s="294"/>
      <c r="T12" s="294"/>
      <c r="U12" s="294"/>
      <c r="V12" s="295"/>
    </row>
    <row r="13" spans="2:24" ht="15" thickBot="1">
      <c r="B13" s="220" t="s">
        <v>22</v>
      </c>
      <c r="C13" s="410"/>
      <c r="D13" s="6"/>
      <c r="E13" s="6"/>
      <c r="F13" s="6"/>
      <c r="G13" s="43" t="s">
        <v>34</v>
      </c>
      <c r="H13" s="68" t="e">
        <f>H9+H10+H11+H12</f>
        <v>#N/A</v>
      </c>
      <c r="I13" s="6"/>
      <c r="J13" s="43" t="s">
        <v>34</v>
      </c>
      <c r="K13" s="66">
        <f>K9+K10+K11+K12</f>
        <v>0</v>
      </c>
      <c r="M13" s="43" t="s">
        <v>34</v>
      </c>
      <c r="N13" s="66" t="e">
        <f>N9+N10+N11+N12</f>
        <v>#N/A</v>
      </c>
      <c r="P13" s="293"/>
      <c r="Q13" s="294"/>
      <c r="R13" s="294"/>
      <c r="S13" s="294"/>
      <c r="T13" s="294"/>
      <c r="U13" s="294"/>
      <c r="V13" s="295"/>
    </row>
    <row r="14" spans="2:24" ht="15" thickBot="1">
      <c r="B14" s="223" t="s">
        <v>24</v>
      </c>
      <c r="C14" s="442"/>
      <c r="D14" s="524" t="s">
        <v>306</v>
      </c>
      <c r="E14" s="525"/>
      <c r="F14" s="6"/>
      <c r="G14" s="27"/>
      <c r="H14" s="68"/>
      <c r="I14" s="6"/>
      <c r="J14" s="27"/>
      <c r="K14" s="66"/>
      <c r="M14" s="27"/>
      <c r="N14" s="66"/>
      <c r="P14" s="293"/>
      <c r="Q14" s="294"/>
      <c r="R14" s="294"/>
      <c r="S14" s="294"/>
      <c r="T14" s="294"/>
      <c r="U14" s="294"/>
      <c r="V14" s="295"/>
    </row>
    <row r="15" spans="2:24" ht="15" thickBot="1">
      <c r="B15" s="350" t="s">
        <v>26</v>
      </c>
      <c r="C15" s="380" t="e">
        <f>H25</f>
        <v>#DIV/0!</v>
      </c>
      <c r="D15" s="440" t="e">
        <f>H20+H24</f>
        <v>#N/A</v>
      </c>
      <c r="E15" s="321" t="e">
        <f>C15-D15</f>
        <v>#DIV/0!</v>
      </c>
      <c r="F15" s="6"/>
      <c r="G15" s="43" t="s">
        <v>35</v>
      </c>
      <c r="H15" s="68" t="e">
        <f>H13/C12</f>
        <v>#N/A</v>
      </c>
      <c r="I15" s="6"/>
      <c r="J15" s="43" t="s">
        <v>35</v>
      </c>
      <c r="K15" s="68" t="e">
        <f>K13/C12</f>
        <v>#DIV/0!</v>
      </c>
      <c r="M15" s="43" t="s">
        <v>35</v>
      </c>
      <c r="N15" s="68" t="e">
        <f>N13/C12</f>
        <v>#N/A</v>
      </c>
      <c r="P15" s="293"/>
      <c r="Q15" s="294"/>
      <c r="R15" s="294"/>
      <c r="S15" s="294"/>
      <c r="T15" s="294"/>
      <c r="U15" s="294"/>
      <c r="V15" s="295"/>
    </row>
    <row r="16" spans="2:24" ht="15" thickBot="1">
      <c r="B16" s="149"/>
      <c r="C16" s="150"/>
      <c r="D16" s="150"/>
      <c r="E16" s="150"/>
      <c r="F16" s="150"/>
      <c r="G16" s="43" t="s">
        <v>36</v>
      </c>
      <c r="H16" s="68">
        <f>K16+N16</f>
        <v>0</v>
      </c>
      <c r="I16" s="150"/>
      <c r="J16" s="43" t="s">
        <v>36</v>
      </c>
      <c r="K16" s="68">
        <v>0</v>
      </c>
      <c r="M16" s="43" t="s">
        <v>36</v>
      </c>
      <c r="N16" s="68">
        <f>ROUND(+C20*C11,4)</f>
        <v>0</v>
      </c>
      <c r="P16" s="293"/>
      <c r="Q16" s="294"/>
      <c r="R16" s="294"/>
      <c r="S16" s="294"/>
      <c r="T16" s="294"/>
      <c r="U16" s="294"/>
      <c r="V16" s="295"/>
    </row>
    <row r="17" spans="2:22">
      <c r="B17" s="52" t="s">
        <v>102</v>
      </c>
      <c r="C17" s="112">
        <f>IF(C5="Keg",Rates!C5,Rates!C3)</f>
        <v>0.74109999999999998</v>
      </c>
      <c r="D17" s="325"/>
      <c r="E17" s="325"/>
      <c r="F17" s="325"/>
      <c r="G17" s="43" t="s">
        <v>19</v>
      </c>
      <c r="H17" s="277">
        <f>K17+N17</f>
        <v>0</v>
      </c>
      <c r="I17" s="325"/>
      <c r="J17" s="43" t="s">
        <v>19</v>
      </c>
      <c r="K17" s="277">
        <v>0</v>
      </c>
      <c r="M17" s="43" t="s">
        <v>19</v>
      </c>
      <c r="N17" s="277">
        <f>ROUND(+C21*C13,4)</f>
        <v>0</v>
      </c>
      <c r="P17" s="293"/>
      <c r="Q17" s="294"/>
      <c r="R17" s="294"/>
      <c r="S17" s="294"/>
      <c r="T17" s="294"/>
      <c r="U17" s="294"/>
      <c r="V17" s="295"/>
    </row>
    <row r="18" spans="2:22">
      <c r="B18" s="43" t="s">
        <v>103</v>
      </c>
      <c r="C18" s="84">
        <f>Rates!C4</f>
        <v>0.2006</v>
      </c>
      <c r="D18" s="330"/>
      <c r="E18" s="330"/>
      <c r="F18" s="330"/>
      <c r="G18" s="43" t="s">
        <v>38</v>
      </c>
      <c r="H18" s="68" t="e">
        <f>K18+N18</f>
        <v>#DIV/0!</v>
      </c>
      <c r="I18" s="330"/>
      <c r="J18" s="43" t="s">
        <v>38</v>
      </c>
      <c r="K18" s="68" t="e">
        <f>ROUND(SUM(K15:K17),4)</f>
        <v>#DIV/0!</v>
      </c>
      <c r="M18" s="43" t="s">
        <v>38</v>
      </c>
      <c r="N18" s="68" t="e">
        <f>ROUND(SUM(N15:N17),4)</f>
        <v>#N/A</v>
      </c>
      <c r="P18" s="293"/>
      <c r="Q18" s="294"/>
      <c r="R18" s="294"/>
      <c r="S18" s="294"/>
      <c r="T18" s="294"/>
      <c r="U18" s="294"/>
      <c r="V18" s="295"/>
    </row>
    <row r="19" spans="2:22">
      <c r="B19" s="146" t="s">
        <v>104</v>
      </c>
      <c r="C19" s="159" t="e">
        <f>VLOOKUP(C4,Rates!A11:B12,2,FALSE)</f>
        <v>#N/A</v>
      </c>
      <c r="D19" s="343"/>
      <c r="E19" s="343"/>
      <c r="F19" s="343"/>
      <c r="G19" s="43" t="s">
        <v>21</v>
      </c>
      <c r="H19" s="277" t="e">
        <f>ROUND(C23*H18,4)</f>
        <v>#DIV/0!</v>
      </c>
      <c r="I19" s="343"/>
      <c r="J19" s="43" t="s">
        <v>21</v>
      </c>
      <c r="K19" s="277" t="e">
        <f>ROUND(C23*K18,4)</f>
        <v>#DIV/0!</v>
      </c>
      <c r="M19" s="43" t="s">
        <v>21</v>
      </c>
      <c r="N19" s="278" t="e">
        <f>ROUND(+N18*C23,4)</f>
        <v>#N/A</v>
      </c>
      <c r="P19" s="293"/>
      <c r="Q19" s="294"/>
      <c r="R19" s="294"/>
      <c r="S19" s="294"/>
      <c r="T19" s="294"/>
      <c r="U19" s="294"/>
      <c r="V19" s="295"/>
    </row>
    <row r="20" spans="2:22" ht="15" thickBot="1">
      <c r="B20" s="43" t="s">
        <v>105</v>
      </c>
      <c r="C20" s="113">
        <f>Rates!B7</f>
        <v>0.17599999999999999</v>
      </c>
      <c r="D20" s="343"/>
      <c r="E20" s="343"/>
      <c r="F20" s="343"/>
      <c r="G20" s="43" t="s">
        <v>39</v>
      </c>
      <c r="H20" s="68" t="e">
        <f>N20+K20</f>
        <v>#N/A</v>
      </c>
      <c r="I20" s="343"/>
      <c r="J20" s="43" t="s">
        <v>39</v>
      </c>
      <c r="K20" s="68" t="e">
        <f>K18+K19</f>
        <v>#DIV/0!</v>
      </c>
      <c r="M20" s="43" t="s">
        <v>39</v>
      </c>
      <c r="N20" s="68" t="e">
        <f>N18+N19</f>
        <v>#N/A</v>
      </c>
      <c r="P20" s="296"/>
      <c r="Q20" s="297"/>
      <c r="R20" s="297"/>
      <c r="S20" s="297"/>
      <c r="T20" s="297"/>
      <c r="U20" s="297"/>
      <c r="V20" s="298"/>
    </row>
    <row r="21" spans="2:22">
      <c r="B21" s="43" t="s">
        <v>106</v>
      </c>
      <c r="C21" s="84">
        <f>Rates!B77</f>
        <v>8.9300000000000004E-2</v>
      </c>
      <c r="D21" s="343"/>
      <c r="E21" s="343"/>
      <c r="F21" s="343"/>
      <c r="G21" s="337" t="s">
        <v>305</v>
      </c>
      <c r="H21" s="275" t="e">
        <f>H23-H22</f>
        <v>#DIV/0!</v>
      </c>
      <c r="I21" s="343"/>
      <c r="J21" s="48" t="s">
        <v>41</v>
      </c>
      <c r="K21" s="50" t="e">
        <f>CEILING(K20,0.05)</f>
        <v>#DIV/0!</v>
      </c>
      <c r="M21" s="48" t="s">
        <v>41</v>
      </c>
      <c r="N21" s="50" t="e">
        <f>CEILING(N20,0.05)</f>
        <v>#N/A</v>
      </c>
      <c r="Q21" s="6"/>
      <c r="R21" s="1"/>
    </row>
    <row r="22" spans="2:22">
      <c r="B22" s="43" t="s">
        <v>23</v>
      </c>
      <c r="C22" s="160" t="e">
        <f>VLOOKUP(C5,Rates!A82:B86,2,FALSE)</f>
        <v>#N/A</v>
      </c>
      <c r="D22" s="343"/>
      <c r="E22" s="343"/>
      <c r="F22" s="343"/>
      <c r="G22" s="337" t="s">
        <v>21</v>
      </c>
      <c r="H22" s="426" t="e">
        <f>ROUND(+H23*(C23*100/(100+C23*100)),2)</f>
        <v>#DIV/0!</v>
      </c>
      <c r="I22" s="343"/>
      <c r="J22" s="43"/>
      <c r="K22" s="154"/>
      <c r="M22" s="43"/>
      <c r="N22" s="154"/>
      <c r="Q22" s="6"/>
      <c r="R22" s="1"/>
    </row>
    <row r="23" spans="2:22">
      <c r="B23" s="43" t="s">
        <v>21</v>
      </c>
      <c r="C23" s="114">
        <f>Rates!B79</f>
        <v>0.13</v>
      </c>
      <c r="D23" s="343"/>
      <c r="E23" s="343"/>
      <c r="F23" s="343"/>
      <c r="G23" s="337" t="s">
        <v>49</v>
      </c>
      <c r="H23" s="275" t="e">
        <f>K21+N21</f>
        <v>#DIV/0!</v>
      </c>
      <c r="I23" s="343"/>
      <c r="J23" s="43"/>
      <c r="K23" s="153"/>
      <c r="M23" s="43"/>
      <c r="N23" s="153"/>
      <c r="R23" s="1"/>
    </row>
    <row r="24" spans="2:22" ht="15" thickBot="1">
      <c r="B24" s="146" t="s">
        <v>107</v>
      </c>
      <c r="C24" s="151">
        <f>Rates!B39/100</f>
        <v>0.36950000000000005</v>
      </c>
      <c r="D24" s="343"/>
      <c r="E24" s="343"/>
      <c r="F24" s="343"/>
      <c r="G24" s="43" t="s">
        <v>42</v>
      </c>
      <c r="H24" s="275" t="e">
        <f>C13*C22</f>
        <v>#N/A</v>
      </c>
      <c r="I24" s="343"/>
      <c r="J24" s="43"/>
      <c r="K24" s="153"/>
      <c r="M24" s="43"/>
      <c r="N24" s="153"/>
      <c r="R24" s="1"/>
    </row>
    <row r="25" spans="2:22" ht="16" thickBot="1">
      <c r="B25" s="147" t="s">
        <v>108</v>
      </c>
      <c r="C25" s="152">
        <f>Rates!B32</f>
        <v>0</v>
      </c>
      <c r="D25" s="343"/>
      <c r="E25" s="343"/>
      <c r="F25" s="343"/>
      <c r="G25" s="57" t="s">
        <v>109</v>
      </c>
      <c r="H25" s="425" t="e">
        <f>SUM(H23:H24)</f>
        <v>#DIV/0!</v>
      </c>
      <c r="I25" s="346"/>
      <c r="J25" s="57"/>
      <c r="K25" s="58"/>
      <c r="M25" s="57"/>
      <c r="N25" s="58"/>
      <c r="R25" s="1"/>
    </row>
    <row r="26" spans="2:22">
      <c r="D26" s="343"/>
      <c r="E26" s="343"/>
      <c r="F26" s="343"/>
      <c r="G26" s="537" t="e">
        <f>IF(C8/C6&gt;40%,"VP Approval Required because packaging costs are greater than 40% of the total cost","")</f>
        <v>#DIV/0!</v>
      </c>
      <c r="H26" s="537"/>
      <c r="I26" s="537"/>
      <c r="J26" s="537"/>
      <c r="K26" s="537"/>
      <c r="R26" s="1"/>
    </row>
    <row r="27" spans="2:22">
      <c r="D27" s="343"/>
      <c r="E27" s="343"/>
      <c r="F27" s="343"/>
      <c r="G27" s="537"/>
      <c r="H27" s="537"/>
      <c r="I27" s="537"/>
      <c r="J27" s="537"/>
      <c r="K27" s="537"/>
      <c r="R27" s="1"/>
    </row>
    <row r="28" spans="2:22">
      <c r="D28" s="346"/>
      <c r="E28" s="346"/>
      <c r="F28" s="346"/>
      <c r="G28" s="346"/>
      <c r="H28" s="346"/>
      <c r="I28" s="346"/>
      <c r="R28" s="1"/>
    </row>
    <row r="29" spans="2:22">
      <c r="D29" s="346"/>
      <c r="E29" s="346"/>
      <c r="F29" s="346"/>
      <c r="G29" s="347"/>
      <c r="H29" s="347"/>
      <c r="I29" s="347"/>
      <c r="R29" s="1"/>
    </row>
    <row r="30" spans="2:22">
      <c r="D30" s="347"/>
      <c r="E30" s="347"/>
      <c r="F30" s="347"/>
      <c r="R30" s="1"/>
    </row>
    <row r="31" spans="2:22">
      <c r="D31" s="346"/>
      <c r="E31" s="346"/>
      <c r="F31" s="346"/>
      <c r="R31" s="1"/>
    </row>
    <row r="32" spans="2:22">
      <c r="D32" s="347"/>
      <c r="E32" s="347"/>
      <c r="F32" s="347"/>
      <c r="G32" s="423"/>
      <c r="H32" s="423"/>
      <c r="I32" s="423"/>
      <c r="R32" s="1"/>
    </row>
    <row r="33" spans="2:18">
      <c r="D33" s="346"/>
      <c r="G33" s="424"/>
      <c r="H33" s="424"/>
      <c r="I33" s="424"/>
      <c r="R33" s="1"/>
    </row>
    <row r="34" spans="2:18">
      <c r="D34" s="423"/>
      <c r="G34" s="423"/>
      <c r="H34" s="423"/>
      <c r="I34" s="423"/>
      <c r="R34" s="1"/>
    </row>
    <row r="35" spans="2:18">
      <c r="D35" s="423"/>
      <c r="E35" s="423"/>
      <c r="F35" s="423"/>
      <c r="G35" s="423"/>
      <c r="H35" s="423"/>
      <c r="I35" s="423"/>
    </row>
    <row r="36" spans="2:18">
      <c r="D36" s="424"/>
      <c r="E36" s="424"/>
      <c r="F36" s="424"/>
      <c r="G36" s="423"/>
      <c r="H36" s="423"/>
      <c r="I36" s="423"/>
    </row>
    <row r="37" spans="2:18">
      <c r="D37" s="423"/>
      <c r="E37" s="423"/>
      <c r="F37" s="423"/>
      <c r="G37" s="290"/>
      <c r="H37" s="290"/>
      <c r="I37" s="290"/>
    </row>
    <row r="38" spans="2:18" ht="15.5">
      <c r="D38" s="423"/>
      <c r="E38" s="423"/>
      <c r="F38" s="423"/>
      <c r="G38" s="336"/>
      <c r="H38" s="336"/>
      <c r="I38" s="336"/>
    </row>
    <row r="39" spans="2:18">
      <c r="D39" s="423"/>
      <c r="E39" s="423"/>
      <c r="F39" s="423"/>
    </row>
    <row r="40" spans="2:18">
      <c r="D40" s="290"/>
      <c r="E40" s="290"/>
      <c r="F40" s="290"/>
      <c r="G40" s="118"/>
      <c r="H40" s="118"/>
      <c r="I40" s="118"/>
    </row>
    <row r="41" spans="2:18" ht="15.5">
      <c r="D41" s="336"/>
      <c r="E41" s="336"/>
      <c r="F41" s="336"/>
    </row>
    <row r="43" spans="2:18">
      <c r="B43" s="5"/>
      <c r="C43" s="118"/>
      <c r="D43" s="118"/>
      <c r="E43" s="118"/>
      <c r="F43" s="118"/>
    </row>
    <row r="44" spans="2:18">
      <c r="R44" s="281"/>
    </row>
    <row r="45" spans="2:18">
      <c r="G45" s="119"/>
      <c r="H45" s="119"/>
      <c r="I45" s="119"/>
    </row>
    <row r="48" spans="2:18">
      <c r="C48" s="119"/>
      <c r="D48" s="119"/>
      <c r="E48" s="119"/>
      <c r="F48" s="119"/>
      <c r="G48" s="120"/>
      <c r="H48" s="120"/>
      <c r="I48" s="120"/>
    </row>
    <row r="49" spans="2:20">
      <c r="G49" s="121"/>
      <c r="H49" s="121"/>
      <c r="I49" s="121"/>
      <c r="R49" s="280"/>
    </row>
    <row r="50" spans="2:20">
      <c r="G50" s="120"/>
      <c r="H50" s="120"/>
      <c r="I50" s="120"/>
      <c r="K50" s="8"/>
      <c r="R50" s="280"/>
    </row>
    <row r="51" spans="2:20">
      <c r="C51" s="120"/>
      <c r="D51" s="120"/>
      <c r="E51" s="120"/>
      <c r="F51" s="120"/>
    </row>
    <row r="52" spans="2:20">
      <c r="B52" s="121"/>
      <c r="C52" s="121"/>
      <c r="D52" s="121"/>
      <c r="E52" s="121"/>
      <c r="F52" s="121"/>
      <c r="R52" s="282"/>
    </row>
    <row r="53" spans="2:20">
      <c r="B53" s="120"/>
      <c r="C53" s="120"/>
      <c r="D53" s="120"/>
      <c r="E53" s="120"/>
      <c r="F53" s="120"/>
      <c r="G53" s="8"/>
      <c r="H53" s="8"/>
      <c r="I53" s="8"/>
    </row>
    <row r="54" spans="2:20">
      <c r="G54" s="8"/>
      <c r="H54" s="8"/>
      <c r="I54" s="8"/>
      <c r="R54" s="280"/>
    </row>
    <row r="55" spans="2:20">
      <c r="G55" s="8"/>
      <c r="H55" s="8"/>
      <c r="I55" s="8"/>
    </row>
    <row r="56" spans="2:20">
      <c r="B56" s="8"/>
      <c r="C56" s="8"/>
      <c r="D56" s="8"/>
      <c r="E56" s="8"/>
      <c r="F56" s="8"/>
      <c r="G56" s="8"/>
      <c r="H56" s="8"/>
      <c r="I56" s="8"/>
      <c r="K56" s="8"/>
      <c r="R56" s="280"/>
    </row>
    <row r="57" spans="2:20">
      <c r="B57" s="8"/>
      <c r="C57" s="8"/>
      <c r="D57" s="8"/>
      <c r="E57" s="8"/>
      <c r="F57" s="8"/>
      <c r="G57" s="8"/>
      <c r="H57" s="8"/>
      <c r="I57" s="8"/>
      <c r="R57" s="280"/>
    </row>
    <row r="58" spans="2:20">
      <c r="B58" s="8"/>
      <c r="C58" s="8"/>
      <c r="D58" s="8"/>
      <c r="E58" s="8"/>
      <c r="F58" s="8"/>
      <c r="G58" s="8"/>
      <c r="H58" s="8"/>
      <c r="I58" s="8"/>
      <c r="K58" s="11"/>
      <c r="R58" s="282"/>
      <c r="T58" s="11"/>
    </row>
    <row r="59" spans="2:20">
      <c r="B59" s="8"/>
      <c r="C59" s="8"/>
      <c r="D59" s="8"/>
      <c r="E59" s="8"/>
      <c r="F59" s="8"/>
      <c r="G59" s="8"/>
      <c r="H59" s="8"/>
      <c r="I59" s="8"/>
      <c r="R59" s="280"/>
    </row>
    <row r="60" spans="2:20">
      <c r="B60" s="8"/>
      <c r="C60" s="8"/>
      <c r="D60" s="8"/>
      <c r="E60" s="8"/>
      <c r="F60" s="8"/>
      <c r="G60" s="8"/>
      <c r="H60" s="8"/>
      <c r="I60" s="8"/>
      <c r="R60" s="280"/>
      <c r="S60" s="122"/>
      <c r="T60" s="123"/>
    </row>
    <row r="61" spans="2:20">
      <c r="B61" s="8"/>
      <c r="C61" s="8"/>
      <c r="D61" s="8"/>
      <c r="E61" s="8"/>
      <c r="F61" s="8"/>
      <c r="G61" s="8"/>
      <c r="H61" s="8"/>
      <c r="I61" s="8"/>
    </row>
    <row r="62" spans="2:20">
      <c r="B62" s="8"/>
      <c r="C62" s="8"/>
      <c r="D62" s="8"/>
      <c r="E62" s="8"/>
      <c r="F62" s="8"/>
      <c r="G62" s="8"/>
      <c r="H62" s="8"/>
      <c r="I62" s="8"/>
      <c r="K62" s="8"/>
      <c r="R62" s="280"/>
      <c r="S62" s="124"/>
      <c r="T62" s="8"/>
    </row>
    <row r="63" spans="2:20">
      <c r="B63" s="8"/>
      <c r="C63" s="8"/>
      <c r="D63" s="8"/>
      <c r="E63" s="8"/>
      <c r="F63" s="8"/>
      <c r="G63" s="8"/>
      <c r="H63" s="8"/>
      <c r="I63" s="8"/>
      <c r="R63" s="280"/>
      <c r="T63" s="8"/>
    </row>
    <row r="64" spans="2:20">
      <c r="B64" s="8"/>
      <c r="C64" s="8"/>
      <c r="D64" s="8"/>
      <c r="E64" s="8"/>
      <c r="F64" s="8"/>
      <c r="G64" s="8"/>
      <c r="H64" s="8"/>
      <c r="I64" s="8"/>
      <c r="K64" s="11"/>
      <c r="R64" s="282"/>
      <c r="T64" s="11"/>
    </row>
    <row r="65" spans="2:18">
      <c r="B65" s="8"/>
      <c r="C65" s="8"/>
      <c r="D65" s="8"/>
      <c r="E65" s="8"/>
      <c r="F65" s="8"/>
      <c r="G65" s="8"/>
      <c r="H65" s="8"/>
      <c r="I65" s="8"/>
      <c r="R65" s="280"/>
    </row>
    <row r="66" spans="2:18">
      <c r="B66" s="8"/>
      <c r="C66" s="8"/>
      <c r="D66" s="8"/>
      <c r="E66" s="8"/>
      <c r="F66" s="8"/>
      <c r="G66" s="8"/>
      <c r="H66" s="8"/>
      <c r="I66" s="8"/>
      <c r="K66" s="11"/>
      <c r="R66" s="282"/>
    </row>
    <row r="67" spans="2:18">
      <c r="B67" s="8"/>
      <c r="C67" s="8"/>
      <c r="D67" s="8"/>
      <c r="E67" s="8"/>
      <c r="F67" s="8"/>
      <c r="G67" s="8"/>
      <c r="H67" s="8"/>
      <c r="I67" s="8"/>
      <c r="R67" s="280"/>
    </row>
    <row r="68" spans="2:18">
      <c r="B68" s="8"/>
      <c r="C68" s="8"/>
      <c r="D68" s="8"/>
      <c r="E68" s="8"/>
      <c r="F68" s="8"/>
      <c r="G68" s="8"/>
      <c r="H68" s="8"/>
      <c r="I68" s="8"/>
      <c r="R68" s="283"/>
    </row>
    <row r="69" spans="2:18">
      <c r="B69" s="8"/>
      <c r="C69" s="8"/>
      <c r="D69" s="8"/>
      <c r="E69" s="8"/>
      <c r="F69" s="8"/>
      <c r="R69" s="280"/>
    </row>
    <row r="70" spans="2:18">
      <c r="B70" s="8"/>
      <c r="C70" s="8"/>
      <c r="D70" s="8"/>
      <c r="E70" s="8"/>
      <c r="F70" s="8"/>
      <c r="K70" s="11"/>
      <c r="R70" s="282"/>
    </row>
    <row r="71" spans="2:18">
      <c r="B71" s="8"/>
      <c r="C71" s="8"/>
      <c r="D71" s="8"/>
      <c r="E71" s="8"/>
      <c r="F71" s="8"/>
      <c r="R71" s="280"/>
    </row>
    <row r="72" spans="2:18">
      <c r="R72" s="280"/>
    </row>
    <row r="73" spans="2:18">
      <c r="R73" s="280"/>
    </row>
    <row r="74" spans="2:18">
      <c r="R74" s="280"/>
    </row>
    <row r="76" spans="2:18">
      <c r="K76" s="11"/>
      <c r="R76" s="284"/>
    </row>
    <row r="78" spans="2:18">
      <c r="K78" s="9"/>
      <c r="R78" s="285"/>
    </row>
    <row r="82" spans="3:18">
      <c r="G82" s="9"/>
      <c r="H82" s="9"/>
      <c r="I82" s="9"/>
      <c r="K82" s="9"/>
      <c r="R82" s="285"/>
    </row>
    <row r="85" spans="3:18">
      <c r="C85" s="9"/>
      <c r="D85" s="9"/>
      <c r="E85" s="9"/>
      <c r="F85" s="9"/>
    </row>
    <row r="88" spans="3:18">
      <c r="G88" s="9"/>
      <c r="H88" s="9"/>
      <c r="I88" s="9"/>
      <c r="K88" s="9"/>
      <c r="R88" s="285"/>
    </row>
    <row r="91" spans="3:18">
      <c r="C91" s="9"/>
      <c r="D91" s="9"/>
      <c r="E91" s="9"/>
      <c r="F91" s="9"/>
    </row>
  </sheetData>
  <sheetProtection formatColumns="0" autoFilter="0" pivotTables="0"/>
  <protectedRanges>
    <protectedRange sqref="C22 C4 C24:C25 C19 C6 C15 C16:F16 I16" name="Range1"/>
    <protectedRange password="CCE3" sqref="B22" name="Range3"/>
    <protectedRange sqref="C9:C14" name="Range1_1"/>
  </protectedRanges>
  <mergeCells count="2">
    <mergeCell ref="G26:K27"/>
    <mergeCell ref="D14:E14"/>
  </mergeCells>
  <conditionalFormatting sqref="E15">
    <cfRule type="cellIs" dxfId="14" priority="1" operator="lessThan">
      <formula>0</formula>
    </cfRule>
    <cfRule type="cellIs" dxfId="13" priority="2" operator="greaterThan">
      <formula>0</formula>
    </cfRule>
    <cfRule type="cellIs" dxfId="12"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AC112CF-6EE7-4B13-86D0-A92AF2665BBB}">
          <x14:formula1>
            <xm:f>Rates!$A$82:$A$86</xm:f>
          </x14:formula1>
          <xm:sqref>C5</xm:sqref>
        </x14:dataValidation>
        <x14:dataValidation type="list" allowBlank="1" showInputMessage="1" showErrorMessage="1" xr:uid="{99772AD0-39F3-41D7-9599-34D835B6A525}">
          <x14:formula1>
            <xm:f>Rates!$B$94:$B$95</xm:f>
          </x14:formula1>
          <xm:sqref>C4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4FE3-6C7F-4E0E-91F2-77FF3820C8FD}">
  <sheetPr codeName="Sheet13">
    <tabColor theme="9" tint="0.39997558519241921"/>
  </sheetPr>
  <dimension ref="B1:Z72"/>
  <sheetViews>
    <sheetView zoomScale="85" zoomScaleNormal="85" workbookViewId="0">
      <selection activeCell="B1" sqref="B1"/>
    </sheetView>
  </sheetViews>
  <sheetFormatPr defaultColWidth="9.765625" defaultRowHeight="14.5"/>
  <cols>
    <col min="1" max="1" width="3.23046875" style="1" customWidth="1"/>
    <col min="2" max="2" width="25" style="1" customWidth="1"/>
    <col min="3" max="3" width="20.765625" style="6" customWidth="1"/>
    <col min="4" max="4" width="3.3046875" style="6" customWidth="1"/>
    <col min="5" max="5" width="23" style="6" bestFit="1" customWidth="1"/>
    <col min="6" max="6" width="20.765625" style="6" customWidth="1"/>
    <col min="7" max="7" width="3" style="6" customWidth="1"/>
    <col min="8" max="8" width="22.84375" style="1" bestFit="1" customWidth="1"/>
    <col min="9" max="9" width="20.765625" style="1" customWidth="1"/>
    <col min="10" max="10" width="2.84375" style="1" customWidth="1"/>
    <col min="11" max="11" width="18.84375" style="1" bestFit="1" customWidth="1"/>
    <col min="12" max="12" width="20.765625" style="36" customWidth="1"/>
    <col min="13" max="13" width="2.69140625" style="36" customWidth="1"/>
    <col min="14" max="14" width="18.07421875" style="36" customWidth="1"/>
    <col min="15" max="15" width="10.765625" style="133" customWidth="1"/>
    <col min="16" max="16" width="14.4609375" style="36" customWidth="1"/>
    <col min="17" max="26" width="9.765625" style="36"/>
    <col min="27" max="16384" width="9.765625" style="1"/>
  </cols>
  <sheetData>
    <row r="1" spans="2:26" ht="18.5">
      <c r="B1" s="174" t="s">
        <v>507</v>
      </c>
      <c r="C1" s="3"/>
      <c r="D1" s="3"/>
      <c r="E1" s="3"/>
      <c r="F1" s="3"/>
      <c r="G1" s="1"/>
      <c r="L1" s="1"/>
      <c r="M1" s="1"/>
      <c r="N1" s="1"/>
      <c r="O1" s="6"/>
      <c r="P1" s="1"/>
      <c r="Q1" s="1"/>
      <c r="R1" s="133"/>
    </row>
    <row r="2" spans="2:26">
      <c r="B2" s="21"/>
      <c r="C2" s="1"/>
      <c r="D2" s="1"/>
      <c r="E2" s="1"/>
      <c r="F2" s="1"/>
      <c r="G2" s="2"/>
      <c r="H2" s="2"/>
      <c r="L2" s="1"/>
      <c r="M2" s="1"/>
      <c r="N2" s="1"/>
      <c r="O2" s="6"/>
      <c r="P2" s="6"/>
      <c r="Q2" s="1"/>
    </row>
    <row r="3" spans="2:26" ht="15" thickBot="1">
      <c r="B3" s="59" t="s">
        <v>0</v>
      </c>
      <c r="C3" s="1"/>
      <c r="D3" s="1"/>
      <c r="E3" s="1"/>
      <c r="F3" s="1"/>
      <c r="G3" s="2"/>
      <c r="H3" s="2"/>
      <c r="L3" s="1"/>
      <c r="M3" s="1"/>
      <c r="N3" s="1"/>
      <c r="O3" s="6"/>
      <c r="P3" s="6"/>
      <c r="Q3" s="1"/>
    </row>
    <row r="4" spans="2:26" ht="16" thickBot="1">
      <c r="B4" s="227" t="s">
        <v>61</v>
      </c>
      <c r="C4" s="399"/>
      <c r="D4" s="1"/>
      <c r="E4" s="65" t="s">
        <v>55</v>
      </c>
      <c r="F4" s="99"/>
      <c r="H4" s="65" t="s">
        <v>91</v>
      </c>
      <c r="I4" s="99"/>
      <c r="J4" s="148"/>
      <c r="K4" s="65" t="s">
        <v>92</v>
      </c>
      <c r="L4" s="99"/>
      <c r="M4" s="26"/>
      <c r="N4" s="291" t="s">
        <v>300</v>
      </c>
      <c r="O4" s="25"/>
      <c r="P4" s="292"/>
      <c r="Q4" s="25"/>
      <c r="R4" s="25"/>
      <c r="S4" s="25"/>
      <c r="T4" s="115"/>
    </row>
    <row r="5" spans="2:26" ht="15" thickBot="1">
      <c r="B5" s="226" t="s">
        <v>80</v>
      </c>
      <c r="C5" s="413"/>
      <c r="D5" s="1"/>
      <c r="E5" s="40" t="s">
        <v>28</v>
      </c>
      <c r="F5" s="165">
        <f>I5+L5</f>
        <v>0</v>
      </c>
      <c r="H5" s="40" t="s">
        <v>93</v>
      </c>
      <c r="I5" s="165">
        <f>C9</f>
        <v>0</v>
      </c>
      <c r="J5" s="36"/>
      <c r="K5" s="40" t="s">
        <v>94</v>
      </c>
      <c r="L5" s="165">
        <f>C8</f>
        <v>0</v>
      </c>
      <c r="M5" s="1"/>
      <c r="N5" s="299"/>
      <c r="O5" s="300"/>
      <c r="P5" s="300"/>
      <c r="Q5" s="300"/>
      <c r="R5" s="300"/>
      <c r="S5" s="300"/>
      <c r="T5" s="301"/>
    </row>
    <row r="6" spans="2:26" ht="15" thickBot="1">
      <c r="B6" s="226" t="s">
        <v>64</v>
      </c>
      <c r="C6" s="413"/>
      <c r="D6" s="1"/>
      <c r="E6" s="43" t="s">
        <v>16</v>
      </c>
      <c r="F6" s="170">
        <f>I6+L6</f>
        <v>0</v>
      </c>
      <c r="H6" s="43" t="s">
        <v>16</v>
      </c>
      <c r="I6" s="170">
        <v>0</v>
      </c>
      <c r="J6" s="36"/>
      <c r="K6" s="43" t="s">
        <v>16</v>
      </c>
      <c r="L6" s="170">
        <f>C10</f>
        <v>0</v>
      </c>
      <c r="M6" s="1"/>
      <c r="N6" s="293"/>
      <c r="O6" s="294"/>
      <c r="P6" s="294"/>
      <c r="Q6" s="294"/>
      <c r="R6" s="294"/>
      <c r="S6" s="294"/>
      <c r="T6" s="295"/>
    </row>
    <row r="7" spans="2:26" ht="15" thickBot="1">
      <c r="B7" s="34" t="s">
        <v>12</v>
      </c>
      <c r="C7" s="415"/>
      <c r="D7" s="1"/>
      <c r="E7" s="43" t="s">
        <v>31</v>
      </c>
      <c r="F7" s="165">
        <f>I7+L7</f>
        <v>0</v>
      </c>
      <c r="H7" s="43" t="s">
        <v>31</v>
      </c>
      <c r="I7" s="165">
        <f>SUM(I5:I6)</f>
        <v>0</v>
      </c>
      <c r="J7" s="36"/>
      <c r="K7" s="43" t="s">
        <v>31</v>
      </c>
      <c r="L7" s="165">
        <f>SUM(L5:L6)</f>
        <v>0</v>
      </c>
      <c r="M7" s="1"/>
      <c r="N7" s="293"/>
      <c r="O7" s="294"/>
      <c r="P7" s="294"/>
      <c r="Q7" s="294"/>
      <c r="R7" s="294"/>
      <c r="S7" s="294"/>
      <c r="T7" s="295"/>
    </row>
    <row r="8" spans="2:26" ht="15" thickBot="1">
      <c r="B8" s="100" t="s">
        <v>89</v>
      </c>
      <c r="C8" s="415"/>
      <c r="D8" s="1"/>
      <c r="E8" s="164" t="s">
        <v>72</v>
      </c>
      <c r="F8" s="165">
        <f>I8+L8</f>
        <v>0</v>
      </c>
      <c r="H8" s="164" t="s">
        <v>72</v>
      </c>
      <c r="I8" s="165">
        <v>0</v>
      </c>
      <c r="J8" s="36"/>
      <c r="K8" s="164" t="s">
        <v>72</v>
      </c>
      <c r="L8" s="165">
        <f>C11*C12*Rates!C3</f>
        <v>0</v>
      </c>
      <c r="M8" s="1"/>
      <c r="N8" s="293"/>
      <c r="O8" s="294"/>
      <c r="P8" s="294"/>
      <c r="Q8" s="294"/>
      <c r="R8" s="294"/>
      <c r="S8" s="294"/>
      <c r="T8" s="295"/>
    </row>
    <row r="9" spans="2:26" ht="15" thickBot="1">
      <c r="B9" s="100" t="s">
        <v>90</v>
      </c>
      <c r="C9" s="415"/>
      <c r="D9" s="1"/>
      <c r="E9" s="164" t="s">
        <v>84</v>
      </c>
      <c r="F9" s="170">
        <f>I9+L9</f>
        <v>0</v>
      </c>
      <c r="H9" s="164" t="s">
        <v>84</v>
      </c>
      <c r="I9" s="170">
        <v>0</v>
      </c>
      <c r="J9" s="36"/>
      <c r="K9" s="164" t="s">
        <v>84</v>
      </c>
      <c r="L9" s="170">
        <f>IF(C4="Micro",Rates!B11*C11,Rates!B12*C11)*C12</f>
        <v>0</v>
      </c>
      <c r="M9" s="1"/>
      <c r="N9" s="293"/>
      <c r="O9" s="294"/>
      <c r="P9" s="294"/>
      <c r="Q9" s="294"/>
      <c r="R9" s="294"/>
      <c r="S9" s="294"/>
      <c r="T9" s="295"/>
    </row>
    <row r="10" spans="2:26" ht="15" thickBot="1">
      <c r="B10" s="222" t="s">
        <v>16</v>
      </c>
      <c r="C10" s="413"/>
      <c r="D10" s="1"/>
      <c r="E10" s="43" t="s">
        <v>34</v>
      </c>
      <c r="F10" s="165">
        <f>SUM(F7:F9)</f>
        <v>0</v>
      </c>
      <c r="H10" s="43" t="s">
        <v>34</v>
      </c>
      <c r="I10" s="165">
        <f>SUM(I7:I9)</f>
        <v>0</v>
      </c>
      <c r="J10" s="36"/>
      <c r="K10" s="43" t="s">
        <v>34</v>
      </c>
      <c r="L10" s="165">
        <f>SUM(L7:L9)</f>
        <v>0</v>
      </c>
      <c r="M10" s="1"/>
      <c r="N10" s="293"/>
      <c r="O10" s="294"/>
      <c r="P10" s="294"/>
      <c r="Q10" s="294"/>
      <c r="R10" s="294"/>
      <c r="S10" s="294"/>
      <c r="T10" s="295"/>
    </row>
    <row r="11" spans="2:26" ht="15" thickBot="1">
      <c r="B11" s="221" t="s">
        <v>18</v>
      </c>
      <c r="C11" s="403"/>
      <c r="D11" s="1"/>
      <c r="E11" s="164"/>
      <c r="F11" s="165"/>
      <c r="H11" s="164"/>
      <c r="I11" s="165"/>
      <c r="J11" s="36"/>
      <c r="K11" s="164"/>
      <c r="L11" s="165"/>
      <c r="M11" s="1"/>
      <c r="N11" s="293"/>
      <c r="O11" s="294"/>
      <c r="P11" s="294"/>
      <c r="Q11" s="294"/>
      <c r="R11" s="294"/>
      <c r="S11" s="294"/>
      <c r="T11" s="295"/>
    </row>
    <row r="12" spans="2:26" ht="15" thickBot="1">
      <c r="B12" s="220" t="s">
        <v>20</v>
      </c>
      <c r="C12" s="404"/>
      <c r="D12" s="1"/>
      <c r="E12" s="43" t="s">
        <v>35</v>
      </c>
      <c r="F12" s="45" t="e">
        <f>I12+L12</f>
        <v>#DIV/0!</v>
      </c>
      <c r="H12" s="43" t="s">
        <v>35</v>
      </c>
      <c r="I12" s="47" t="e">
        <f>ROUND(I10/C12,4)</f>
        <v>#DIV/0!</v>
      </c>
      <c r="J12" s="64"/>
      <c r="K12" s="43" t="s">
        <v>35</v>
      </c>
      <c r="L12" s="47" t="e">
        <f>ROUND(L10/C12,4)</f>
        <v>#DIV/0!</v>
      </c>
      <c r="M12" s="1"/>
      <c r="N12" s="293"/>
      <c r="O12" s="294"/>
      <c r="P12" s="294"/>
      <c r="Q12" s="294"/>
      <c r="R12" s="294"/>
      <c r="S12" s="294"/>
      <c r="T12" s="295"/>
    </row>
    <row r="13" spans="2:26" ht="15" thickBot="1">
      <c r="B13" s="220" t="s">
        <v>22</v>
      </c>
      <c r="C13" s="404"/>
      <c r="D13" s="1"/>
      <c r="E13" s="164" t="s">
        <v>36</v>
      </c>
      <c r="F13" s="165">
        <f>I13+L13</f>
        <v>0</v>
      </c>
      <c r="H13" s="164" t="s">
        <v>36</v>
      </c>
      <c r="I13" s="165">
        <v>0</v>
      </c>
      <c r="J13" s="36"/>
      <c r="K13" s="164" t="s">
        <v>36</v>
      </c>
      <c r="L13" s="165">
        <f>C11*Rates!B7</f>
        <v>0</v>
      </c>
      <c r="M13" s="1"/>
      <c r="N13" s="293"/>
      <c r="O13" s="294"/>
      <c r="P13" s="294"/>
      <c r="Q13" s="294"/>
      <c r="R13" s="294"/>
      <c r="S13" s="294"/>
      <c r="T13" s="295"/>
    </row>
    <row r="14" spans="2:26" ht="15.75" customHeight="1" thickBot="1">
      <c r="B14" s="223" t="s">
        <v>24</v>
      </c>
      <c r="C14" s="441"/>
      <c r="D14" s="1"/>
      <c r="E14" s="164" t="s">
        <v>19</v>
      </c>
      <c r="F14" s="165">
        <f>I14+L14</f>
        <v>0</v>
      </c>
      <c r="H14" s="164" t="s">
        <v>19</v>
      </c>
      <c r="I14" s="165">
        <v>0</v>
      </c>
      <c r="J14" s="36"/>
      <c r="K14" s="164" t="s">
        <v>19</v>
      </c>
      <c r="L14" s="165">
        <f>IF(C5="Yes",0,C13*Rates!B77)</f>
        <v>0</v>
      </c>
      <c r="M14" s="1"/>
      <c r="N14" s="293"/>
      <c r="O14" s="294"/>
      <c r="P14" s="294"/>
      <c r="Q14" s="294"/>
      <c r="R14" s="294"/>
      <c r="S14" s="294"/>
      <c r="T14" s="295"/>
    </row>
    <row r="15" spans="2:26" s="24" customFormat="1" ht="21.5" thickBot="1">
      <c r="B15" s="35" t="s">
        <v>26</v>
      </c>
      <c r="C15" s="172" t="e">
        <f>F26</f>
        <v>#N/A</v>
      </c>
      <c r="D15" s="1"/>
      <c r="E15" s="164" t="s">
        <v>85</v>
      </c>
      <c r="F15" s="170">
        <f>I15+L15</f>
        <v>0</v>
      </c>
      <c r="G15" s="138"/>
      <c r="H15" s="164" t="s">
        <v>85</v>
      </c>
      <c r="I15" s="170">
        <v>0</v>
      </c>
      <c r="J15" s="36"/>
      <c r="K15" s="164" t="s">
        <v>85</v>
      </c>
      <c r="L15" s="170">
        <v>0</v>
      </c>
      <c r="M15" s="1"/>
      <c r="N15" s="293"/>
      <c r="O15" s="294"/>
      <c r="P15" s="294"/>
      <c r="Q15" s="294"/>
      <c r="R15" s="294"/>
      <c r="S15" s="294"/>
      <c r="T15" s="295"/>
      <c r="U15" s="36"/>
      <c r="V15" s="36"/>
      <c r="W15" s="36"/>
      <c r="X15" s="36"/>
      <c r="Y15" s="36"/>
      <c r="Z15" s="36"/>
    </row>
    <row r="16" spans="2:26" s="24" customFormat="1" ht="19" thickBot="1">
      <c r="B16" s="168"/>
      <c r="C16" s="169"/>
      <c r="D16" s="169"/>
      <c r="E16" s="43" t="s">
        <v>38</v>
      </c>
      <c r="F16" s="165" t="e">
        <f>I16+L16</f>
        <v>#DIV/0!</v>
      </c>
      <c r="G16" s="138"/>
      <c r="H16" s="43" t="s">
        <v>38</v>
      </c>
      <c r="I16" s="165" t="e">
        <f>SUM(I12:I15)</f>
        <v>#DIV/0!</v>
      </c>
      <c r="J16" s="36"/>
      <c r="K16" s="43" t="s">
        <v>38</v>
      </c>
      <c r="L16" s="165" t="e">
        <f>SUM(L12:L15)</f>
        <v>#DIV/0!</v>
      </c>
      <c r="M16" s="1"/>
      <c r="N16" s="293"/>
      <c r="O16" s="294"/>
      <c r="P16" s="294"/>
      <c r="Q16" s="294"/>
      <c r="R16" s="294"/>
      <c r="S16" s="294"/>
      <c r="T16" s="295"/>
      <c r="U16" s="36"/>
      <c r="V16" s="36"/>
      <c r="W16" s="36"/>
      <c r="X16" s="36"/>
      <c r="Y16" s="36"/>
      <c r="Z16" s="36"/>
    </row>
    <row r="17" spans="2:20">
      <c r="B17" s="145" t="s">
        <v>63</v>
      </c>
      <c r="C17" s="112">
        <f>Rates!C3</f>
        <v>0.74109999999999998</v>
      </c>
      <c r="D17" s="325"/>
      <c r="E17" s="43" t="s">
        <v>21</v>
      </c>
      <c r="F17" s="165" t="e">
        <f>F16*C23</f>
        <v>#DIV/0!</v>
      </c>
      <c r="G17" s="138"/>
      <c r="H17" s="43" t="s">
        <v>21</v>
      </c>
      <c r="I17" s="165" t="e">
        <f>I16*C23</f>
        <v>#DIV/0!</v>
      </c>
      <c r="K17" s="43" t="s">
        <v>21</v>
      </c>
      <c r="L17" s="165" t="e">
        <f>L16*C23</f>
        <v>#DIV/0!</v>
      </c>
      <c r="N17" s="293"/>
      <c r="O17" s="294"/>
      <c r="P17" s="294"/>
      <c r="Q17" s="294"/>
      <c r="R17" s="294"/>
      <c r="S17" s="294"/>
      <c r="T17" s="295"/>
    </row>
    <row r="18" spans="2:20">
      <c r="B18" s="146" t="s">
        <v>66</v>
      </c>
      <c r="C18" s="84">
        <v>0</v>
      </c>
      <c r="D18" s="374"/>
      <c r="E18" s="43" t="s">
        <v>39</v>
      </c>
      <c r="F18" s="165" t="e">
        <f>F16+F17</f>
        <v>#DIV/0!</v>
      </c>
      <c r="G18" s="138"/>
      <c r="H18" s="43" t="s">
        <v>39</v>
      </c>
      <c r="I18" s="165" t="e">
        <f>I16+I17</f>
        <v>#DIV/0!</v>
      </c>
      <c r="K18" s="43" t="s">
        <v>39</v>
      </c>
      <c r="L18" s="165" t="e">
        <f>L16+L17</f>
        <v>#DIV/0!</v>
      </c>
      <c r="N18" s="293"/>
      <c r="O18" s="294"/>
      <c r="P18" s="294"/>
      <c r="Q18" s="294"/>
      <c r="R18" s="294"/>
      <c r="S18" s="294"/>
      <c r="T18" s="295"/>
    </row>
    <row r="19" spans="2:20">
      <c r="B19" s="146" t="s">
        <v>67</v>
      </c>
      <c r="C19" s="276" t="e">
        <f>VLOOKUP(C4,Rates!A11:B12,2,FALSE)</f>
        <v>#N/A</v>
      </c>
      <c r="D19" s="374"/>
      <c r="E19" s="43"/>
      <c r="F19" s="165"/>
      <c r="G19" s="138"/>
      <c r="H19" s="27"/>
      <c r="I19" s="28"/>
      <c r="K19" s="27"/>
      <c r="L19" s="272"/>
      <c r="N19" s="293"/>
      <c r="O19" s="294"/>
      <c r="P19" s="294"/>
      <c r="Q19" s="294"/>
      <c r="R19" s="294"/>
      <c r="S19" s="294"/>
      <c r="T19" s="295"/>
    </row>
    <row r="20" spans="2:20" ht="15" thickBot="1">
      <c r="B20" s="146" t="s">
        <v>68</v>
      </c>
      <c r="C20" s="113">
        <f>Rates!B7</f>
        <v>0.17599999999999999</v>
      </c>
      <c r="D20" s="374"/>
      <c r="E20" s="48" t="s">
        <v>302</v>
      </c>
      <c r="F20" s="160" t="e">
        <f>F22-F21</f>
        <v>#DIV/0!</v>
      </c>
      <c r="G20" s="138"/>
      <c r="H20" s="48" t="s">
        <v>74</v>
      </c>
      <c r="I20" s="49" t="e">
        <f>CEILING(I18,0.05)</f>
        <v>#DIV/0!</v>
      </c>
      <c r="K20" s="48" t="s">
        <v>74</v>
      </c>
      <c r="L20" s="49" t="e">
        <f>CEILING(L18,0.05)</f>
        <v>#DIV/0!</v>
      </c>
      <c r="N20" s="296"/>
      <c r="O20" s="297"/>
      <c r="P20" s="297"/>
      <c r="Q20" s="297"/>
      <c r="R20" s="297"/>
      <c r="S20" s="297"/>
      <c r="T20" s="298"/>
    </row>
    <row r="21" spans="2:20" ht="18.75" customHeight="1" thickBot="1">
      <c r="B21" s="146" t="s">
        <v>19</v>
      </c>
      <c r="C21" s="84">
        <f>Rates!B77</f>
        <v>8.9300000000000004E-2</v>
      </c>
      <c r="D21" s="374"/>
      <c r="E21" s="48" t="s">
        <v>21</v>
      </c>
      <c r="F21" s="167" t="e">
        <f>ROUND(F22*C23/(1+C23),2)</f>
        <v>#DIV/0!</v>
      </c>
      <c r="G21" s="138"/>
      <c r="H21" s="43"/>
      <c r="I21" s="167"/>
      <c r="K21" s="43"/>
      <c r="L21" s="167"/>
      <c r="N21" s="501"/>
      <c r="O21" s="505"/>
      <c r="P21" s="1"/>
      <c r="Q21" s="1"/>
    </row>
    <row r="22" spans="2:20" ht="15.75" customHeight="1">
      <c r="B22" s="43" t="s">
        <v>23</v>
      </c>
      <c r="C22" s="160" t="e">
        <f>VLOOKUP(C6,Rates!A82:B86,2,FALSE)</f>
        <v>#N/A</v>
      </c>
      <c r="D22" s="374"/>
      <c r="E22" s="48" t="s">
        <v>86</v>
      </c>
      <c r="F22" s="160" t="e">
        <f>L20+I20</f>
        <v>#DIV/0!</v>
      </c>
      <c r="G22" s="138"/>
      <c r="H22" s="27"/>
      <c r="I22" s="47"/>
      <c r="K22" s="27"/>
      <c r="L22" s="47"/>
      <c r="O22" s="36"/>
    </row>
    <row r="23" spans="2:20" ht="15.75" customHeight="1">
      <c r="B23" s="146" t="s">
        <v>21</v>
      </c>
      <c r="C23" s="114">
        <f>Rates!B79</f>
        <v>0.13</v>
      </c>
      <c r="D23" s="374"/>
      <c r="E23" s="43"/>
      <c r="F23" s="160"/>
      <c r="G23" s="138"/>
      <c r="H23" s="27"/>
      <c r="I23" s="47"/>
      <c r="K23" s="27"/>
      <c r="L23" s="47"/>
      <c r="O23" s="36"/>
    </row>
    <row r="24" spans="2:20" ht="15.75" customHeight="1">
      <c r="B24" s="146" t="s">
        <v>69</v>
      </c>
      <c r="C24" s="151">
        <v>0</v>
      </c>
      <c r="D24" s="374"/>
      <c r="E24" s="43" t="s">
        <v>42</v>
      </c>
      <c r="F24" s="171" t="e">
        <f>C22*C13</f>
        <v>#N/A</v>
      </c>
      <c r="G24" s="138"/>
      <c r="H24" s="164"/>
      <c r="I24" s="165"/>
      <c r="J24" s="36"/>
      <c r="K24" s="164"/>
      <c r="L24" s="165"/>
      <c r="O24" s="36"/>
    </row>
    <row r="25" spans="2:20" ht="15" thickBot="1">
      <c r="B25" s="147" t="s">
        <v>70</v>
      </c>
      <c r="C25" s="152">
        <f>Rates!B32</f>
        <v>0</v>
      </c>
      <c r="D25" s="330"/>
      <c r="E25" s="164"/>
      <c r="F25" s="165"/>
      <c r="G25" s="1"/>
      <c r="H25" s="270"/>
      <c r="I25" s="271"/>
      <c r="J25" s="36"/>
      <c r="K25" s="270"/>
      <c r="L25" s="271"/>
      <c r="M25" s="1"/>
      <c r="O25" s="36"/>
    </row>
    <row r="26" spans="2:20" ht="16" thickBot="1">
      <c r="D26" s="374"/>
      <c r="E26" s="57" t="s">
        <v>109</v>
      </c>
      <c r="F26" s="58" t="e">
        <f>F24+F22</f>
        <v>#N/A</v>
      </c>
      <c r="G26" s="1"/>
      <c r="H26" s="57"/>
      <c r="I26" s="58"/>
      <c r="K26" s="57"/>
      <c r="L26" s="58"/>
      <c r="M26" s="1"/>
      <c r="O26" s="36"/>
    </row>
    <row r="27" spans="2:20">
      <c r="D27" s="374"/>
      <c r="E27" s="537" t="e">
        <f>IF(C9/C7&gt;40%,"VP Approval Required because packaging costs are greater than 40% of the total cost","")</f>
        <v>#DIV/0!</v>
      </c>
      <c r="F27" s="537"/>
      <c r="G27" s="537"/>
      <c r="H27" s="537"/>
      <c r="I27" s="537"/>
      <c r="O27" s="36"/>
    </row>
    <row r="28" spans="2:20">
      <c r="D28" s="374"/>
      <c r="E28" s="537"/>
      <c r="F28" s="537"/>
      <c r="G28" s="537"/>
      <c r="H28" s="537"/>
      <c r="I28" s="537"/>
      <c r="O28" s="36"/>
    </row>
    <row r="29" spans="2:20">
      <c r="D29" s="374"/>
      <c r="E29" s="374"/>
      <c r="F29" s="374"/>
      <c r="G29" s="140"/>
      <c r="O29" s="36"/>
    </row>
    <row r="30" spans="2:20">
      <c r="F30" s="374"/>
      <c r="G30" s="139"/>
      <c r="O30" s="36"/>
    </row>
    <row r="31" spans="2:20">
      <c r="F31" s="374"/>
      <c r="G31" s="139"/>
      <c r="O31" s="36"/>
    </row>
    <row r="32" spans="2:20">
      <c r="D32" s="374"/>
      <c r="E32" s="374"/>
      <c r="F32" s="374"/>
      <c r="G32" s="139"/>
      <c r="O32" s="36"/>
    </row>
    <row r="33" spans="2:15">
      <c r="D33" s="355"/>
      <c r="E33" s="355"/>
      <c r="F33" s="355"/>
      <c r="G33" s="141"/>
      <c r="O33" s="36"/>
    </row>
    <row r="34" spans="2:15" s="36" customFormat="1">
      <c r="D34" s="377"/>
      <c r="E34" s="377"/>
      <c r="F34" s="377"/>
      <c r="G34" s="133"/>
    </row>
    <row r="35" spans="2:15" s="36" customFormat="1">
      <c r="D35" s="355"/>
      <c r="E35" s="355"/>
      <c r="F35" s="355"/>
      <c r="G35" s="133"/>
    </row>
    <row r="36" spans="2:15" s="36" customFormat="1">
      <c r="D36" s="355"/>
      <c r="E36" s="355"/>
      <c r="F36" s="355"/>
      <c r="G36" s="139"/>
    </row>
    <row r="37" spans="2:15">
      <c r="D37" s="436"/>
      <c r="E37" s="436"/>
      <c r="F37" s="436"/>
      <c r="G37" s="139"/>
    </row>
    <row r="38" spans="2:15">
      <c r="D38" s="374"/>
      <c r="E38" s="374"/>
      <c r="F38" s="374"/>
      <c r="G38" s="139"/>
    </row>
    <row r="39" spans="2:15" s="36" customFormat="1" ht="15.5">
      <c r="D39" s="336"/>
      <c r="E39" s="336"/>
      <c r="F39" s="336"/>
      <c r="G39" s="133"/>
    </row>
    <row r="40" spans="2:15" s="36" customFormat="1">
      <c r="G40" s="133"/>
      <c r="H40" s="1"/>
      <c r="I40" s="1"/>
      <c r="J40" s="1"/>
      <c r="K40" s="1"/>
      <c r="O40" s="133"/>
    </row>
    <row r="41" spans="2:15" s="36" customFormat="1">
      <c r="G41" s="142"/>
      <c r="H41" s="1"/>
      <c r="I41" s="1"/>
      <c r="J41" s="1"/>
      <c r="K41" s="1"/>
      <c r="O41" s="133"/>
    </row>
    <row r="42" spans="2:15">
      <c r="C42" s="1"/>
      <c r="D42" s="1"/>
      <c r="E42" s="1"/>
      <c r="F42" s="1"/>
      <c r="G42" s="133"/>
    </row>
    <row r="43" spans="2:15" s="36" customFormat="1">
      <c r="G43" s="133"/>
      <c r="H43" s="1"/>
      <c r="I43" s="1"/>
      <c r="J43" s="1"/>
      <c r="K43" s="1"/>
      <c r="O43" s="133"/>
    </row>
    <row r="44" spans="2:15" s="36" customFormat="1">
      <c r="B44" s="1"/>
      <c r="C44" s="6"/>
      <c r="D44" s="6"/>
      <c r="E44" s="6"/>
      <c r="F44" s="6"/>
      <c r="G44" s="142"/>
      <c r="H44" s="1"/>
      <c r="I44" s="1"/>
      <c r="J44" s="1"/>
      <c r="K44" s="1"/>
      <c r="O44" s="133"/>
    </row>
    <row r="45" spans="2:15" s="36" customFormat="1">
      <c r="B45" s="1"/>
      <c r="C45" s="6"/>
      <c r="D45" s="6"/>
      <c r="E45" s="6"/>
      <c r="F45" s="6"/>
      <c r="G45" s="133"/>
      <c r="H45" s="1"/>
      <c r="I45" s="1"/>
      <c r="J45" s="1"/>
      <c r="K45" s="1"/>
      <c r="O45" s="133"/>
    </row>
    <row r="46" spans="2:15" s="36" customFormat="1">
      <c r="B46" s="1"/>
      <c r="C46" s="6"/>
      <c r="D46" s="6"/>
      <c r="E46" s="6"/>
      <c r="F46" s="6"/>
      <c r="G46" s="143"/>
      <c r="H46" s="1"/>
      <c r="I46" s="1"/>
      <c r="J46" s="1"/>
      <c r="K46" s="1"/>
      <c r="O46" s="133"/>
    </row>
    <row r="47" spans="2:15" s="36" customFormat="1">
      <c r="B47" s="1"/>
      <c r="C47" s="6"/>
      <c r="D47" s="6"/>
      <c r="E47" s="6"/>
      <c r="F47" s="6"/>
      <c r="G47" s="127"/>
      <c r="H47" s="1"/>
      <c r="I47" s="1"/>
      <c r="J47" s="1"/>
      <c r="K47" s="1"/>
      <c r="O47" s="133"/>
    </row>
    <row r="48" spans="2:15" s="36" customFormat="1">
      <c r="B48" s="1"/>
      <c r="C48" s="6"/>
      <c r="D48" s="6"/>
      <c r="E48" s="6"/>
      <c r="F48" s="6"/>
      <c r="G48" s="129"/>
      <c r="H48" s="1"/>
      <c r="I48" s="1"/>
      <c r="J48" s="1"/>
      <c r="K48" s="1"/>
      <c r="O48" s="133"/>
    </row>
    <row r="49" spans="2:15" s="36" customFormat="1">
      <c r="B49" s="1"/>
      <c r="C49" s="6"/>
      <c r="D49" s="6"/>
      <c r="E49" s="6"/>
      <c r="F49" s="6"/>
      <c r="G49" s="6"/>
      <c r="H49" s="1"/>
      <c r="I49" s="1"/>
      <c r="J49" s="1"/>
      <c r="K49" s="1"/>
      <c r="O49" s="133"/>
    </row>
    <row r="50" spans="2:15" s="36" customFormat="1">
      <c r="B50" s="1"/>
      <c r="C50" s="6"/>
      <c r="D50" s="6"/>
      <c r="E50" s="6"/>
      <c r="F50" s="6"/>
      <c r="G50" s="6"/>
      <c r="H50" s="1"/>
      <c r="I50" s="1"/>
      <c r="J50" s="1"/>
      <c r="K50" s="1"/>
      <c r="O50" s="133"/>
    </row>
    <row r="51" spans="2:15" s="36" customFormat="1">
      <c r="B51" s="1"/>
      <c r="C51" s="6"/>
      <c r="D51" s="6"/>
      <c r="E51" s="6"/>
      <c r="F51" s="6"/>
      <c r="G51" s="6"/>
      <c r="H51" s="1"/>
      <c r="I51" s="1"/>
      <c r="J51" s="1"/>
      <c r="K51" s="1"/>
      <c r="O51" s="133"/>
    </row>
    <row r="52" spans="2:15" s="36" customFormat="1">
      <c r="B52" s="1"/>
      <c r="C52" s="6"/>
      <c r="D52" s="6"/>
      <c r="E52" s="6"/>
      <c r="F52" s="6"/>
      <c r="G52" s="6"/>
      <c r="H52" s="1"/>
      <c r="I52" s="1"/>
      <c r="J52" s="1"/>
      <c r="K52" s="1"/>
      <c r="O52" s="133"/>
    </row>
    <row r="53" spans="2:15" s="36" customFormat="1">
      <c r="B53" s="1"/>
      <c r="C53" s="6"/>
      <c r="D53" s="6"/>
      <c r="E53" s="6"/>
      <c r="F53" s="6"/>
      <c r="G53" s="6"/>
      <c r="H53" s="1"/>
      <c r="I53" s="1"/>
      <c r="J53" s="1"/>
      <c r="K53" s="1"/>
      <c r="O53" s="133"/>
    </row>
    <row r="54" spans="2:15" s="36" customFormat="1">
      <c r="B54" s="1"/>
      <c r="C54" s="6"/>
      <c r="D54" s="6"/>
      <c r="E54" s="6"/>
      <c r="F54" s="6"/>
      <c r="G54" s="6"/>
      <c r="H54" s="1"/>
      <c r="I54" s="1"/>
      <c r="J54" s="1"/>
      <c r="K54" s="1"/>
      <c r="N54" s="135"/>
      <c r="O54" s="133"/>
    </row>
    <row r="55" spans="2:15" s="36" customFormat="1">
      <c r="B55" s="1"/>
      <c r="C55" s="6"/>
      <c r="D55" s="6"/>
      <c r="E55" s="6"/>
      <c r="F55" s="6"/>
      <c r="G55" s="6"/>
      <c r="H55" s="1"/>
      <c r="I55" s="1"/>
      <c r="J55" s="1"/>
      <c r="K55" s="1"/>
      <c r="O55" s="133"/>
    </row>
    <row r="56" spans="2:15" s="36" customFormat="1">
      <c r="B56" s="1"/>
      <c r="C56" s="6"/>
      <c r="D56" s="6"/>
      <c r="E56" s="6"/>
      <c r="F56" s="6"/>
      <c r="G56" s="6"/>
      <c r="H56" s="1"/>
      <c r="I56" s="1"/>
      <c r="J56" s="1"/>
      <c r="K56" s="1"/>
      <c r="O56" s="133"/>
    </row>
    <row r="57" spans="2:15" s="36" customFormat="1">
      <c r="B57" s="1"/>
      <c r="C57" s="6"/>
      <c r="D57" s="6"/>
      <c r="E57" s="6"/>
      <c r="F57" s="6"/>
      <c r="G57" s="6"/>
      <c r="H57" s="1"/>
      <c r="I57" s="1"/>
      <c r="J57" s="1"/>
      <c r="K57" s="1"/>
      <c r="O57" s="133"/>
    </row>
    <row r="58" spans="2:15" s="36" customFormat="1">
      <c r="B58" s="1"/>
      <c r="C58" s="6"/>
      <c r="D58" s="6"/>
      <c r="E58" s="6"/>
      <c r="F58" s="6"/>
      <c r="G58" s="6"/>
      <c r="H58" s="1"/>
      <c r="I58" s="1"/>
      <c r="J58" s="1"/>
      <c r="K58" s="1"/>
      <c r="O58" s="133"/>
    </row>
    <row r="59" spans="2:15" s="36" customFormat="1">
      <c r="B59" s="1"/>
      <c r="C59" s="6"/>
      <c r="D59" s="6"/>
      <c r="E59" s="6"/>
      <c r="F59" s="6"/>
      <c r="G59" s="6"/>
      <c r="H59" s="1"/>
      <c r="I59" s="1"/>
      <c r="J59" s="1"/>
      <c r="K59" s="1"/>
      <c r="O59" s="133"/>
    </row>
    <row r="60" spans="2:15" s="36" customFormat="1">
      <c r="B60" s="1"/>
      <c r="C60" s="6"/>
      <c r="D60" s="6"/>
      <c r="E60" s="6"/>
      <c r="F60" s="6"/>
      <c r="G60" s="6"/>
      <c r="H60" s="1"/>
      <c r="I60" s="1"/>
      <c r="J60" s="1"/>
      <c r="K60" s="1"/>
      <c r="O60" s="133"/>
    </row>
    <row r="61" spans="2:15" s="36" customFormat="1">
      <c r="B61" s="1"/>
      <c r="C61" s="6"/>
      <c r="D61" s="6"/>
      <c r="E61" s="6"/>
      <c r="F61" s="6"/>
      <c r="G61" s="6"/>
      <c r="H61" s="1"/>
      <c r="I61" s="1"/>
      <c r="J61" s="1"/>
      <c r="K61" s="1"/>
      <c r="O61" s="133"/>
    </row>
    <row r="62" spans="2:15" s="36" customFormat="1">
      <c r="B62" s="1"/>
      <c r="C62" s="6"/>
      <c r="D62" s="6"/>
      <c r="E62" s="6"/>
      <c r="F62" s="6"/>
      <c r="G62" s="6"/>
      <c r="H62" s="1"/>
      <c r="I62" s="1"/>
      <c r="J62" s="1"/>
      <c r="K62" s="1"/>
      <c r="O62" s="133"/>
    </row>
    <row r="63" spans="2:15" s="36" customFormat="1">
      <c r="B63" s="1"/>
      <c r="C63" s="6"/>
      <c r="D63" s="6"/>
      <c r="E63" s="6"/>
      <c r="F63" s="6"/>
      <c r="G63" s="6"/>
      <c r="H63" s="1"/>
      <c r="I63" s="1"/>
      <c r="J63" s="1"/>
      <c r="K63" s="1"/>
      <c r="O63" s="133"/>
    </row>
    <row r="64" spans="2:15" s="36" customFormat="1">
      <c r="B64" s="1"/>
      <c r="C64" s="6"/>
      <c r="D64" s="6"/>
      <c r="E64" s="6"/>
      <c r="F64" s="6"/>
      <c r="G64" s="6"/>
      <c r="H64" s="1"/>
      <c r="I64" s="1"/>
      <c r="J64" s="1"/>
      <c r="K64" s="1"/>
      <c r="O64" s="133"/>
    </row>
    <row r="65" spans="2:15" s="36" customFormat="1">
      <c r="B65" s="1"/>
      <c r="C65" s="6"/>
      <c r="D65" s="6"/>
      <c r="E65" s="6"/>
      <c r="F65" s="6"/>
      <c r="G65" s="6"/>
      <c r="H65" s="1"/>
      <c r="I65" s="1"/>
      <c r="J65" s="1"/>
      <c r="K65" s="1"/>
      <c r="O65" s="133"/>
    </row>
    <row r="66" spans="2:15" s="36" customFormat="1">
      <c r="B66" s="1"/>
      <c r="C66" s="6"/>
      <c r="D66" s="6"/>
      <c r="E66" s="6"/>
      <c r="F66" s="6"/>
      <c r="G66" s="6"/>
      <c r="H66" s="1"/>
      <c r="I66" s="1"/>
      <c r="J66" s="1"/>
      <c r="K66" s="1"/>
      <c r="O66" s="133"/>
    </row>
    <row r="67" spans="2:15" s="36" customFormat="1" ht="15" thickBot="1">
      <c r="B67" s="1"/>
      <c r="C67" s="6"/>
      <c r="D67" s="6"/>
      <c r="E67" s="6"/>
      <c r="F67" s="6"/>
      <c r="G67" s="6"/>
      <c r="H67" s="1"/>
      <c r="I67" s="1"/>
      <c r="J67" s="1"/>
      <c r="K67" s="1"/>
      <c r="O67" s="133"/>
    </row>
    <row r="68" spans="2:15" s="36" customFormat="1" ht="15" thickBot="1">
      <c r="B68" s="130"/>
      <c r="C68" s="6"/>
      <c r="D68" s="6"/>
      <c r="E68" s="6"/>
      <c r="F68" s="6"/>
      <c r="G68" s="6"/>
      <c r="H68" s="1"/>
      <c r="I68" s="1"/>
      <c r="J68" s="1"/>
      <c r="K68" s="1"/>
      <c r="O68" s="133"/>
    </row>
    <row r="69" spans="2:15">
      <c r="B69" s="131"/>
    </row>
    <row r="70" spans="2:15">
      <c r="B70" s="131"/>
    </row>
    <row r="71" spans="2:15">
      <c r="B71" s="131"/>
    </row>
    <row r="72" spans="2:15" ht="15" thickBot="1">
      <c r="B72" s="132"/>
    </row>
  </sheetData>
  <sheetProtection formatColumns="0" autoFilter="0" pivotTables="0"/>
  <protectedRanges>
    <protectedRange sqref="C22 C24:C25 C19" name="Range1"/>
    <protectedRange password="CCE3" sqref="B22" name="Range3_1"/>
  </protectedRanges>
  <mergeCells count="1">
    <mergeCell ref="E27:I28"/>
  </mergeCells>
  <pageMargins left="0.70866141732283472" right="0.70866141732283472" top="0.74803149606299213" bottom="0.74803149606299213" header="0.31496062992125984" footer="0.31496062992125984"/>
  <pageSetup orientation="landscape" r:id="rId1"/>
  <legacyDrawing r:id="rId2"/>
  <extLst>
    <ext xmlns:x14="http://schemas.microsoft.com/office/spreadsheetml/2009/9/main" uri="{CCE6A557-97BC-4b89-ADB6-D9C93CAAB3DF}">
      <x14:dataValidations xmlns:xm="http://schemas.microsoft.com/office/excel/2006/main" count="3">
        <x14:dataValidation type="list" showInputMessage="1" showErrorMessage="1" xr:uid="{36AA456A-FE0B-4D87-B7A9-2D75ACA41C5D}">
          <x14:formula1>
            <xm:f>Rates!$B$94:$B$95</xm:f>
          </x14:formula1>
          <xm:sqref>C4</xm:sqref>
        </x14:dataValidation>
        <x14:dataValidation type="list" showInputMessage="1" showErrorMessage="1" xr:uid="{22367D3E-6BF8-43EA-9880-8191F2B1645A}">
          <x14:formula1>
            <xm:f>Rates!$E$94:$E$95</xm:f>
          </x14:formula1>
          <xm:sqref>C5</xm:sqref>
        </x14:dataValidation>
        <x14:dataValidation type="list" allowBlank="1" showInputMessage="1" showErrorMessage="1" xr:uid="{BA30E564-7F0A-43AB-B3CC-7ED3653007C6}">
          <x14:formula1>
            <xm:f>Rates!$A$82:$A$86</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662B-6B14-4AEE-84FE-872769C7AAA0}">
  <sheetPr codeName="Sheet16">
    <tabColor rgb="FFFFFF00"/>
  </sheetPr>
  <dimension ref="B1:V92"/>
  <sheetViews>
    <sheetView zoomScaleNormal="100" workbookViewId="0">
      <selection activeCell="B1" sqref="B1"/>
    </sheetView>
  </sheetViews>
  <sheetFormatPr defaultColWidth="9.84375" defaultRowHeight="14.5"/>
  <cols>
    <col min="1" max="1" width="2.765625" style="1" customWidth="1"/>
    <col min="2" max="2" width="24.07421875" style="1" customWidth="1"/>
    <col min="3" max="3" width="20.765625"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4" t="s">
        <v>507</v>
      </c>
      <c r="C1" s="3"/>
      <c r="D1" s="3"/>
      <c r="E1" s="3"/>
      <c r="F1" s="3"/>
      <c r="S1" s="6"/>
    </row>
    <row r="2" spans="2:22" ht="18.5">
      <c r="B2" s="174"/>
      <c r="C2" s="3"/>
      <c r="D2" s="3"/>
      <c r="E2" s="3"/>
      <c r="F2" s="3"/>
      <c r="S2" s="6"/>
    </row>
    <row r="3" spans="2:22" ht="15" thickBot="1">
      <c r="B3" s="59" t="s">
        <v>0</v>
      </c>
      <c r="C3" s="6"/>
      <c r="D3" s="3"/>
      <c r="E3" s="3"/>
      <c r="F3" s="6"/>
      <c r="I3" s="2"/>
      <c r="J3" s="39"/>
    </row>
    <row r="4" spans="2:22" ht="16" thickBot="1">
      <c r="B4" s="224" t="s">
        <v>61</v>
      </c>
      <c r="C4" s="406"/>
      <c r="D4" s="3"/>
      <c r="E4" s="3"/>
      <c r="F4" s="6"/>
      <c r="G4" s="65" t="s">
        <v>55</v>
      </c>
      <c r="H4" s="99"/>
      <c r="J4" s="291" t="s">
        <v>300</v>
      </c>
      <c r="K4" s="25"/>
      <c r="L4" s="292"/>
      <c r="M4" s="25"/>
      <c r="N4" s="25"/>
      <c r="O4" s="25"/>
      <c r="P4" s="115"/>
    </row>
    <row r="5" spans="2:22" ht="15" thickBot="1">
      <c r="B5" s="220" t="s">
        <v>342</v>
      </c>
      <c r="C5" s="400"/>
      <c r="D5" s="3"/>
      <c r="E5" s="3"/>
      <c r="F5" s="6"/>
      <c r="G5" s="40" t="s">
        <v>28</v>
      </c>
      <c r="H5" s="66">
        <f>C8*C7</f>
        <v>0</v>
      </c>
      <c r="J5" s="299"/>
      <c r="K5" s="300"/>
      <c r="L5" s="300"/>
      <c r="M5" s="300"/>
      <c r="N5" s="300"/>
      <c r="O5" s="300"/>
      <c r="P5" s="301"/>
    </row>
    <row r="6" spans="2:22" ht="15" thickBot="1">
      <c r="B6" s="33" t="s">
        <v>64</v>
      </c>
      <c r="C6" s="404"/>
      <c r="D6" s="3"/>
      <c r="E6" s="3"/>
      <c r="F6" s="6"/>
      <c r="G6" s="43" t="s">
        <v>30</v>
      </c>
      <c r="H6" s="289">
        <f>ROUND(+C11*C12*C24,4)</f>
        <v>0</v>
      </c>
      <c r="J6" s="293"/>
      <c r="K6" s="294"/>
      <c r="L6" s="294"/>
      <c r="M6" s="294"/>
      <c r="N6" s="294"/>
      <c r="O6" s="294"/>
      <c r="P6" s="295"/>
    </row>
    <row r="7" spans="2:22" ht="15" thickBot="1">
      <c r="B7" s="33" t="s">
        <v>12</v>
      </c>
      <c r="C7" s="407"/>
      <c r="D7" s="3"/>
      <c r="E7" s="3"/>
      <c r="F7" s="6"/>
      <c r="G7" s="43" t="s">
        <v>29</v>
      </c>
      <c r="H7" s="66">
        <f>ROUND(+C11*C14*C25,4)</f>
        <v>0</v>
      </c>
      <c r="J7" s="293"/>
      <c r="K7" s="294"/>
      <c r="L7" s="294"/>
      <c r="M7" s="294"/>
      <c r="N7" s="294"/>
      <c r="O7" s="294"/>
      <c r="P7" s="295"/>
      <c r="U7" s="6"/>
      <c r="V7" s="6"/>
    </row>
    <row r="8" spans="2:22" ht="15" thickBot="1">
      <c r="B8" s="220" t="s">
        <v>14</v>
      </c>
      <c r="C8" s="408"/>
      <c r="D8" s="3"/>
      <c r="E8" s="3"/>
      <c r="F8" s="6"/>
      <c r="G8" s="54" t="s">
        <v>71</v>
      </c>
      <c r="H8" s="66">
        <f>C9</f>
        <v>0</v>
      </c>
      <c r="J8" s="293"/>
      <c r="K8" s="294"/>
      <c r="L8" s="294"/>
      <c r="M8" s="294"/>
      <c r="N8" s="294"/>
      <c r="O8" s="294"/>
      <c r="P8" s="295"/>
      <c r="U8" s="6"/>
    </row>
    <row r="9" spans="2:22" ht="15" thickBot="1">
      <c r="B9" s="222" t="s">
        <v>331</v>
      </c>
      <c r="C9" s="407"/>
      <c r="D9" s="3"/>
      <c r="E9" s="3"/>
      <c r="F9" s="6"/>
      <c r="G9" s="43" t="s">
        <v>31</v>
      </c>
      <c r="H9" s="155">
        <f>SUM(H5:H8)</f>
        <v>0</v>
      </c>
      <c r="J9" s="293"/>
      <c r="K9" s="294"/>
      <c r="L9" s="294"/>
      <c r="M9" s="294"/>
      <c r="N9" s="294"/>
      <c r="O9" s="294"/>
      <c r="P9" s="295"/>
      <c r="U9" s="6"/>
    </row>
    <row r="10" spans="2:22" ht="15" thickBot="1">
      <c r="B10" s="222" t="s">
        <v>332</v>
      </c>
      <c r="C10" s="407"/>
      <c r="D10" s="3"/>
      <c r="E10" s="3"/>
      <c r="F10" s="6"/>
      <c r="G10" s="43" t="s">
        <v>72</v>
      </c>
      <c r="H10" s="66">
        <v>0</v>
      </c>
      <c r="J10" s="293"/>
      <c r="K10" s="294"/>
      <c r="L10" s="294"/>
      <c r="M10" s="294"/>
      <c r="N10" s="294"/>
      <c r="O10" s="294"/>
      <c r="P10" s="295"/>
    </row>
    <row r="11" spans="2:22" ht="15" thickBot="1">
      <c r="B11" s="221" t="s">
        <v>18</v>
      </c>
      <c r="C11" s="409"/>
      <c r="D11" s="3"/>
      <c r="E11" s="3"/>
      <c r="F11" s="6"/>
      <c r="G11" s="43" t="s">
        <v>73</v>
      </c>
      <c r="H11" s="66">
        <f>ROUND(+C18*C11*C12,4)</f>
        <v>0</v>
      </c>
      <c r="J11" s="293"/>
      <c r="K11" s="294"/>
      <c r="L11" s="294"/>
      <c r="M11" s="294"/>
      <c r="N11" s="294"/>
      <c r="O11" s="294"/>
      <c r="P11" s="295"/>
    </row>
    <row r="12" spans="2:22" ht="15" thickBot="1">
      <c r="B12" s="220" t="s">
        <v>20</v>
      </c>
      <c r="C12" s="410"/>
      <c r="D12" s="3"/>
      <c r="E12" s="3"/>
      <c r="F12" s="6"/>
      <c r="G12" s="43" t="s">
        <v>57</v>
      </c>
      <c r="H12" s="156" t="e">
        <f>ROUND((C11*C12)*C19,4)</f>
        <v>#N/A</v>
      </c>
      <c r="J12" s="293"/>
      <c r="K12" s="294"/>
      <c r="L12" s="294"/>
      <c r="M12" s="294"/>
      <c r="N12" s="294"/>
      <c r="O12" s="294"/>
      <c r="P12" s="295"/>
    </row>
    <row r="13" spans="2:22" ht="15" thickBot="1">
      <c r="B13" s="220" t="s">
        <v>22</v>
      </c>
      <c r="C13" s="410"/>
      <c r="D13" s="3"/>
      <c r="E13" s="3"/>
      <c r="F13" s="6"/>
      <c r="G13" s="43" t="s">
        <v>34</v>
      </c>
      <c r="H13" s="66" t="e">
        <f>H9+H10+H11+H12</f>
        <v>#N/A</v>
      </c>
      <c r="I13" s="148"/>
      <c r="J13" s="293"/>
      <c r="K13" s="294"/>
      <c r="L13" s="294"/>
      <c r="M13" s="294"/>
      <c r="N13" s="294"/>
      <c r="O13" s="294"/>
      <c r="P13" s="295"/>
    </row>
    <row r="14" spans="2:22" ht="15" thickBot="1">
      <c r="B14" s="223" t="s">
        <v>24</v>
      </c>
      <c r="C14" s="411"/>
      <c r="D14" s="524" t="s">
        <v>306</v>
      </c>
      <c r="E14" s="525"/>
      <c r="F14" s="6"/>
      <c r="G14" s="27"/>
      <c r="H14" s="66"/>
      <c r="I14" s="148"/>
      <c r="J14" s="293"/>
      <c r="K14" s="294"/>
      <c r="L14" s="294"/>
      <c r="M14" s="294"/>
      <c r="N14" s="294"/>
      <c r="O14" s="294"/>
      <c r="P14" s="295"/>
    </row>
    <row r="15" spans="2:22" ht="15" thickBot="1">
      <c r="B15" s="350" t="s">
        <v>338</v>
      </c>
      <c r="C15" s="351" t="e">
        <f>H26</f>
        <v>#N/A</v>
      </c>
      <c r="D15" s="440" t="e">
        <f>H21+H25</f>
        <v>#N/A</v>
      </c>
      <c r="E15" s="321" t="e">
        <f>C15-D15</f>
        <v>#N/A</v>
      </c>
      <c r="F15" s="6"/>
      <c r="G15" s="43" t="s">
        <v>35</v>
      </c>
      <c r="H15" s="68" t="e">
        <f>H13/C12</f>
        <v>#N/A</v>
      </c>
      <c r="J15" s="293"/>
      <c r="K15" s="294"/>
      <c r="L15" s="294"/>
      <c r="M15" s="294"/>
      <c r="N15" s="294"/>
      <c r="O15" s="294"/>
      <c r="P15" s="295"/>
    </row>
    <row r="16" spans="2:22" ht="15" thickBot="1">
      <c r="B16" s="149"/>
      <c r="C16" s="178"/>
      <c r="D16" s="3"/>
      <c r="E16" s="3"/>
      <c r="F16" s="6"/>
      <c r="G16" s="43" t="s">
        <v>333</v>
      </c>
      <c r="H16" s="446">
        <f>C10</f>
        <v>0</v>
      </c>
      <c r="J16" s="293"/>
      <c r="K16" s="294"/>
      <c r="L16" s="294"/>
      <c r="M16" s="294"/>
      <c r="N16" s="294"/>
      <c r="O16" s="294"/>
      <c r="P16" s="295"/>
    </row>
    <row r="17" spans="2:18" ht="15" thickBot="1">
      <c r="B17" s="145" t="s">
        <v>63</v>
      </c>
      <c r="C17" s="358">
        <f>Rates!C3</f>
        <v>0.74109999999999998</v>
      </c>
      <c r="D17" s="352"/>
      <c r="E17" s="352"/>
      <c r="F17" s="6"/>
      <c r="G17" s="43" t="s">
        <v>36</v>
      </c>
      <c r="H17" s="68">
        <f>ROUND(+C20*C11,4)</f>
        <v>0</v>
      </c>
      <c r="J17" s="296"/>
      <c r="K17" s="297"/>
      <c r="L17" s="297"/>
      <c r="M17" s="297"/>
      <c r="N17" s="297"/>
      <c r="O17" s="297"/>
      <c r="P17" s="298"/>
      <c r="R17" s="10"/>
    </row>
    <row r="18" spans="2:18">
      <c r="B18" s="146" t="s">
        <v>66</v>
      </c>
      <c r="C18" s="369">
        <f>Rates!C5</f>
        <v>0.1245</v>
      </c>
      <c r="D18" s="352"/>
      <c r="E18" s="352"/>
      <c r="F18" s="325"/>
      <c r="G18" s="43" t="s">
        <v>19</v>
      </c>
      <c r="H18" s="277">
        <f>IF(C6="Refillable",0,ROUND(+C21*C13,4))</f>
        <v>0</v>
      </c>
      <c r="Q18" s="6"/>
      <c r="R18" s="10"/>
    </row>
    <row r="19" spans="2:18" ht="15" thickBot="1">
      <c r="B19" s="146" t="s">
        <v>67</v>
      </c>
      <c r="C19" s="371" t="e">
        <f>VLOOKUP(C4,Rates!A14:B15,2,FALSE)</f>
        <v>#N/A</v>
      </c>
      <c r="D19" s="353"/>
      <c r="E19" s="353"/>
      <c r="F19" s="343"/>
      <c r="G19" s="43" t="s">
        <v>38</v>
      </c>
      <c r="H19" s="68" t="e">
        <f>ROUND(SUM(H15:H18),4)</f>
        <v>#N/A</v>
      </c>
    </row>
    <row r="20" spans="2:18" ht="16" thickBot="1">
      <c r="B20" s="146" t="s">
        <v>68</v>
      </c>
      <c r="C20" s="369">
        <f>Rates!B7</f>
        <v>0.17599999999999999</v>
      </c>
      <c r="D20" s="354"/>
      <c r="E20" s="354"/>
      <c r="F20" s="344"/>
      <c r="G20" s="43" t="s">
        <v>21</v>
      </c>
      <c r="H20" s="277" t="e">
        <f>ROUND(+H19*C23,2)</f>
        <v>#N/A</v>
      </c>
      <c r="J20" s="93" t="s">
        <v>40</v>
      </c>
      <c r="K20" s="94"/>
      <c r="Q20" s="6"/>
    </row>
    <row r="21" spans="2:18" ht="15" customHeight="1">
      <c r="B21" s="146" t="s">
        <v>19</v>
      </c>
      <c r="C21" s="369">
        <f>Rates!B77</f>
        <v>8.9300000000000004E-2</v>
      </c>
      <c r="D21" s="352"/>
      <c r="E21" s="352"/>
      <c r="F21" s="343"/>
      <c r="G21" s="43" t="s">
        <v>39</v>
      </c>
      <c r="H21" s="68" t="e">
        <f>SUM(H20+H19)</f>
        <v>#N/A</v>
      </c>
      <c r="J21" s="538" t="s">
        <v>334</v>
      </c>
      <c r="K21" s="539"/>
      <c r="Q21" s="6"/>
    </row>
    <row r="22" spans="2:18">
      <c r="B22" s="43" t="s">
        <v>23</v>
      </c>
      <c r="C22" s="371">
        <f>IF(C11&lt;=20,20,50)</f>
        <v>20</v>
      </c>
      <c r="D22" s="355"/>
      <c r="E22" s="355"/>
      <c r="F22" s="343"/>
      <c r="G22" s="337" t="s">
        <v>305</v>
      </c>
      <c r="H22" s="161" t="e">
        <f>H24-H23</f>
        <v>#N/A</v>
      </c>
      <c r="J22" s="540"/>
      <c r="K22" s="541"/>
      <c r="Q22" s="6"/>
    </row>
    <row r="23" spans="2:18">
      <c r="B23" s="146" t="s">
        <v>21</v>
      </c>
      <c r="C23" s="373">
        <f>Rates!B79</f>
        <v>0.13</v>
      </c>
      <c r="D23" s="356"/>
      <c r="E23" s="356"/>
      <c r="F23" s="345"/>
      <c r="G23" s="337" t="s">
        <v>21</v>
      </c>
      <c r="H23" s="278" t="e">
        <f>ROUND(+H24*(C23*100/(100+C23*100)),2)</f>
        <v>#N/A</v>
      </c>
      <c r="J23" s="540"/>
      <c r="K23" s="541"/>
      <c r="Q23" s="6"/>
      <c r="R23" s="8"/>
    </row>
    <row r="24" spans="2:18">
      <c r="B24" s="146" t="s">
        <v>3</v>
      </c>
      <c r="C24" s="370">
        <f>IF(C14&lt;=7%,Rates!B27,Rates!B28)</f>
        <v>0.35099999999999998</v>
      </c>
      <c r="D24" s="353"/>
      <c r="E24" s="353"/>
      <c r="F24" s="343"/>
      <c r="G24" s="447" t="s">
        <v>337</v>
      </c>
      <c r="H24" s="161" t="e">
        <f>MAX(CEILING(H21,0.05))</f>
        <v>#N/A</v>
      </c>
      <c r="J24" s="540"/>
      <c r="K24" s="541"/>
    </row>
    <row r="25" spans="2:18" ht="15" thickBot="1">
      <c r="B25" s="147" t="s">
        <v>7</v>
      </c>
      <c r="C25" s="372">
        <f>IF(C5="Other",Rates!B33,0)</f>
        <v>0</v>
      </c>
      <c r="D25" s="357"/>
      <c r="E25" s="357"/>
      <c r="F25" s="343"/>
      <c r="G25" s="448" t="s">
        <v>336</v>
      </c>
      <c r="H25" s="161">
        <f>C22</f>
        <v>20</v>
      </c>
      <c r="J25" s="540"/>
      <c r="K25" s="541"/>
    </row>
    <row r="26" spans="2:18" ht="16" thickBot="1">
      <c r="F26" s="343"/>
      <c r="G26" s="57" t="s">
        <v>339</v>
      </c>
      <c r="H26" s="58" t="e">
        <f>SUM(H24:H25)</f>
        <v>#N/A</v>
      </c>
      <c r="J26" s="542"/>
      <c r="K26" s="543"/>
    </row>
    <row r="27" spans="2:18">
      <c r="F27" s="343"/>
    </row>
    <row r="28" spans="2:18">
      <c r="F28" s="343"/>
      <c r="G28" s="1" t="s">
        <v>4</v>
      </c>
    </row>
    <row r="29" spans="2:18">
      <c r="F29" s="346"/>
      <c r="G29" s="228" t="s">
        <v>8</v>
      </c>
    </row>
    <row r="30" spans="2:18">
      <c r="F30" s="346"/>
    </row>
    <row r="31" spans="2:18">
      <c r="F31" s="347"/>
    </row>
    <row r="32" spans="2:18">
      <c r="F32" s="346"/>
    </row>
    <row r="33" spans="2:17">
      <c r="F33" s="348"/>
    </row>
    <row r="34" spans="2:17">
      <c r="F34" s="349"/>
    </row>
    <row r="35" spans="2:17">
      <c r="F35" s="349"/>
    </row>
    <row r="36" spans="2:17">
      <c r="F36" s="349"/>
      <c r="Q36" s="117"/>
    </row>
    <row r="37" spans="2:17">
      <c r="F37" s="348"/>
    </row>
    <row r="38" spans="2:17">
      <c r="F38" s="349"/>
    </row>
    <row r="39" spans="2:17">
      <c r="F39" s="349"/>
    </row>
    <row r="40" spans="2:17">
      <c r="F40" s="349"/>
    </row>
    <row r="41" spans="2:17">
      <c r="F41" s="290"/>
      <c r="P41" s="4"/>
    </row>
    <row r="42" spans="2:17" ht="15.5">
      <c r="F42" s="336"/>
    </row>
    <row r="43" spans="2:17">
      <c r="B43" s="5"/>
      <c r="C43" s="118"/>
      <c r="D43" s="118"/>
      <c r="E43" s="118"/>
    </row>
    <row r="44" spans="2:17">
      <c r="F44" s="118"/>
    </row>
    <row r="46" spans="2:17">
      <c r="P46" s="8"/>
    </row>
    <row r="47" spans="2:17">
      <c r="P47" s="8"/>
    </row>
    <row r="48" spans="2:17">
      <c r="C48" s="119"/>
      <c r="D48" s="119"/>
      <c r="E48" s="119"/>
    </row>
    <row r="49" spans="2:18">
      <c r="F49" s="119"/>
      <c r="P49" s="11"/>
    </row>
    <row r="51" spans="2:18">
      <c r="C51" s="120"/>
      <c r="D51" s="120"/>
      <c r="E51" s="120"/>
      <c r="I51" s="8"/>
      <c r="P51" s="8"/>
    </row>
    <row r="52" spans="2:18">
      <c r="B52" s="121"/>
      <c r="C52" s="121"/>
      <c r="D52" s="121"/>
      <c r="E52" s="121"/>
      <c r="F52" s="120"/>
    </row>
    <row r="53" spans="2:18">
      <c r="B53" s="120"/>
      <c r="C53" s="120"/>
      <c r="D53" s="120"/>
      <c r="E53" s="120"/>
      <c r="F53" s="121"/>
      <c r="P53" s="8"/>
    </row>
    <row r="54" spans="2:18">
      <c r="F54" s="120"/>
      <c r="P54" s="8"/>
    </row>
    <row r="55" spans="2:18">
      <c r="P55" s="11"/>
    </row>
    <row r="56" spans="2:18">
      <c r="B56" s="8"/>
      <c r="C56" s="8"/>
      <c r="D56" s="8"/>
      <c r="E56" s="8"/>
      <c r="P56" s="8"/>
    </row>
    <row r="57" spans="2:18">
      <c r="B57" s="8"/>
      <c r="C57" s="8"/>
      <c r="D57" s="8"/>
      <c r="E57" s="8"/>
      <c r="F57" s="8"/>
      <c r="I57" s="8"/>
      <c r="P57" s="8"/>
    </row>
    <row r="58" spans="2:18">
      <c r="B58" s="8"/>
      <c r="C58" s="8"/>
      <c r="D58" s="8"/>
      <c r="E58" s="8"/>
      <c r="F58" s="8"/>
      <c r="R58" s="11"/>
    </row>
    <row r="59" spans="2:18">
      <c r="B59" s="8"/>
      <c r="C59" s="8"/>
      <c r="D59" s="8"/>
      <c r="E59" s="8"/>
      <c r="F59" s="8"/>
      <c r="I59" s="11"/>
      <c r="P59" s="8"/>
    </row>
    <row r="60" spans="2:18">
      <c r="B60" s="8"/>
      <c r="C60" s="8"/>
      <c r="D60" s="8"/>
      <c r="E60" s="8"/>
      <c r="F60" s="8"/>
      <c r="P60" s="8"/>
      <c r="Q60" s="122"/>
      <c r="R60" s="123"/>
    </row>
    <row r="61" spans="2:18">
      <c r="B61" s="8"/>
      <c r="C61" s="8"/>
      <c r="D61" s="8"/>
      <c r="E61" s="8"/>
      <c r="F61" s="8"/>
      <c r="P61" s="11"/>
    </row>
    <row r="62" spans="2:18">
      <c r="B62" s="8"/>
      <c r="C62" s="8"/>
      <c r="D62" s="8"/>
      <c r="E62" s="8"/>
      <c r="F62" s="8"/>
      <c r="P62" s="8"/>
      <c r="Q62" s="124"/>
      <c r="R62" s="8"/>
    </row>
    <row r="63" spans="2:18">
      <c r="B63" s="8"/>
      <c r="C63" s="8"/>
      <c r="D63" s="8"/>
      <c r="E63" s="8"/>
      <c r="F63" s="8"/>
      <c r="I63" s="8"/>
      <c r="P63" s="11"/>
      <c r="R63" s="8"/>
    </row>
    <row r="64" spans="2:18">
      <c r="B64" s="8"/>
      <c r="C64" s="8"/>
      <c r="D64" s="8"/>
      <c r="E64" s="8"/>
      <c r="F64" s="8"/>
      <c r="P64" s="8"/>
      <c r="R64" s="11"/>
    </row>
    <row r="65" spans="2:16">
      <c r="B65" s="8"/>
      <c r="C65" s="8"/>
      <c r="D65" s="8"/>
      <c r="E65" s="8"/>
      <c r="F65" s="8"/>
      <c r="I65" s="11"/>
      <c r="P65" s="123"/>
    </row>
    <row r="66" spans="2:16">
      <c r="B66" s="8"/>
      <c r="C66" s="8"/>
      <c r="D66" s="8"/>
      <c r="E66" s="8"/>
      <c r="F66" s="8"/>
      <c r="P66" s="8"/>
    </row>
    <row r="67" spans="2:16">
      <c r="B67" s="8"/>
      <c r="C67" s="8"/>
      <c r="D67" s="8"/>
      <c r="E67" s="8"/>
      <c r="F67" s="8"/>
      <c r="I67" s="11"/>
      <c r="P67" s="11"/>
    </row>
    <row r="68" spans="2:16">
      <c r="B68" s="8"/>
      <c r="C68" s="8"/>
      <c r="D68" s="8"/>
      <c r="E68" s="8"/>
      <c r="F68" s="8"/>
      <c r="P68" s="8"/>
    </row>
    <row r="69" spans="2:16">
      <c r="B69" s="8"/>
      <c r="C69" s="8"/>
      <c r="D69" s="8"/>
      <c r="E69" s="8"/>
      <c r="F69" s="8"/>
      <c r="P69" s="8"/>
    </row>
    <row r="70" spans="2:16">
      <c r="B70" s="8"/>
      <c r="C70" s="8"/>
      <c r="D70" s="8"/>
      <c r="E70" s="8"/>
      <c r="F70" s="8"/>
      <c r="P70" s="8"/>
    </row>
    <row r="71" spans="2:16">
      <c r="B71" s="8"/>
      <c r="C71" s="8"/>
      <c r="D71" s="8"/>
      <c r="E71" s="8"/>
      <c r="F71" s="8"/>
      <c r="I71" s="11"/>
      <c r="P71" s="8"/>
    </row>
    <row r="72" spans="2:16">
      <c r="F72" s="8"/>
    </row>
    <row r="73" spans="2:16">
      <c r="P73" s="125"/>
    </row>
    <row r="75" spans="2:16">
      <c r="P75" s="9"/>
    </row>
    <row r="77" spans="2:16">
      <c r="I77" s="11"/>
    </row>
    <row r="79" spans="2:16">
      <c r="I79" s="9"/>
      <c r="P79" s="9"/>
    </row>
    <row r="83" spans="3:16">
      <c r="I83" s="9"/>
    </row>
    <row r="85" spans="3:16">
      <c r="C85" s="9"/>
      <c r="D85" s="9"/>
      <c r="E85" s="9"/>
      <c r="P85" s="9"/>
    </row>
    <row r="86" spans="3:16">
      <c r="F86" s="9"/>
    </row>
    <row r="89" spans="3:16">
      <c r="I89" s="9"/>
    </row>
    <row r="91" spans="3:16">
      <c r="C91" s="9"/>
      <c r="D91" s="9"/>
      <c r="E91" s="9"/>
    </row>
    <row r="92" spans="3:16">
      <c r="F92" s="9"/>
    </row>
  </sheetData>
  <sheetProtection formatColumns="0" autoFilter="0" pivotTables="0"/>
  <protectedRanges>
    <protectedRange sqref="C24:E25 C4 C19:E19 C7:C15 C22:E22" name="Range1"/>
    <protectedRange password="CCE3" sqref="B22" name="Range3_1"/>
  </protectedRanges>
  <mergeCells count="2">
    <mergeCell ref="D14:E14"/>
    <mergeCell ref="J21:K26"/>
  </mergeCells>
  <conditionalFormatting sqref="E15">
    <cfRule type="cellIs" dxfId="11" priority="1" operator="lessThan">
      <formula>0</formula>
    </cfRule>
    <cfRule type="cellIs" dxfId="10" priority="2" operator="greaterThan">
      <formula>0</formula>
    </cfRule>
    <cfRule type="cellIs" dxfId="9" priority="3" operator="greaterThan">
      <formula>0</formula>
    </cfRule>
  </conditionalFormatting>
  <hyperlinks>
    <hyperlink ref="G29" r:id="rId1" display="https://www.doingbusinesswithlcbo.com/content/dbwl/en/basepage/home/new-supplier-agent/Pricing/HelpfulToolsandLinks.html" xr:uid="{66449450-8D8B-4DCE-A8EE-9FE287E9273C}"/>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3C9F395-8169-40F3-A274-82F6ED97E39F}">
          <x14:formula1>
            <xm:f>Rates!$B$94:$B$95</xm:f>
          </x14:formula1>
          <xm:sqref>C4</xm:sqref>
        </x14:dataValidation>
        <x14:dataValidation type="list" allowBlank="1" showInputMessage="1" showErrorMessage="1" xr:uid="{0FD3CB8B-23AF-47CD-9783-B10F40C51A48}">
          <x14:formula1>
            <xm:f>Rates!$F$94:$F$95</xm:f>
          </x14:formula1>
          <xm:sqref>C6</xm:sqref>
        </x14:dataValidation>
        <x14:dataValidation type="list" showInputMessage="1" showErrorMessage="1" prompt="Pick from drop-down list_x000a_" xr:uid="{ADDE7887-794E-4CB9-A94D-9613CDD23F46}">
          <x14:formula1>
            <xm:f>Rates!$G$94:$G$96</xm:f>
          </x14:formula1>
          <xm:sqref>C5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462D-2529-4591-A637-AC2EB0D5104C}">
  <sheetPr codeName="Sheet14">
    <tabColor rgb="FFFFFF00"/>
  </sheetPr>
  <dimension ref="B1:V91"/>
  <sheetViews>
    <sheetView zoomScaleNormal="100" workbookViewId="0">
      <selection activeCell="B1" sqref="B1"/>
    </sheetView>
  </sheetViews>
  <sheetFormatPr defaultColWidth="9.84375" defaultRowHeight="14.5"/>
  <cols>
    <col min="1" max="1" width="2.765625" style="1" customWidth="1"/>
    <col min="2" max="2" width="24.07421875" style="1" customWidth="1"/>
    <col min="3" max="3" width="20.765625"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4" t="s">
        <v>507</v>
      </c>
      <c r="C1" s="3"/>
      <c r="D1" s="3"/>
      <c r="E1" s="3"/>
      <c r="F1" s="3"/>
      <c r="S1" s="6"/>
    </row>
    <row r="2" spans="2:22" ht="18.5">
      <c r="B2" s="174"/>
      <c r="C2" s="3"/>
      <c r="D2" s="3"/>
      <c r="E2" s="3"/>
      <c r="F2" s="3"/>
      <c r="S2" s="6"/>
    </row>
    <row r="3" spans="2:22" ht="15" thickBot="1">
      <c r="B3" s="59" t="s">
        <v>0</v>
      </c>
      <c r="C3" s="6"/>
      <c r="D3" s="3"/>
      <c r="E3" s="3"/>
      <c r="F3" s="6"/>
      <c r="I3" s="2"/>
      <c r="J3" s="39"/>
    </row>
    <row r="4" spans="2:22" ht="16" thickBot="1">
      <c r="B4" s="224" t="s">
        <v>61</v>
      </c>
      <c r="C4" s="406"/>
      <c r="D4" s="3"/>
      <c r="E4" s="3"/>
      <c r="F4" s="6"/>
      <c r="G4" s="65" t="s">
        <v>55</v>
      </c>
      <c r="H4" s="99"/>
      <c r="J4" s="291" t="s">
        <v>300</v>
      </c>
      <c r="K4" s="25"/>
      <c r="L4" s="292"/>
      <c r="M4" s="25"/>
      <c r="N4" s="25"/>
      <c r="O4" s="25"/>
      <c r="P4" s="115"/>
    </row>
    <row r="5" spans="2:22" ht="15" thickBot="1">
      <c r="B5" s="33" t="s">
        <v>64</v>
      </c>
      <c r="C5" s="404"/>
      <c r="D5" s="3"/>
      <c r="E5" s="3"/>
      <c r="F5" s="6"/>
      <c r="G5" s="40" t="s">
        <v>28</v>
      </c>
      <c r="H5" s="66">
        <f>C7*C6</f>
        <v>0</v>
      </c>
      <c r="J5" s="299"/>
      <c r="K5" s="300"/>
      <c r="L5" s="300"/>
      <c r="M5" s="300"/>
      <c r="N5" s="300"/>
      <c r="O5" s="300"/>
      <c r="P5" s="301"/>
    </row>
    <row r="6" spans="2:22" ht="15" thickBot="1">
      <c r="B6" s="33" t="s">
        <v>12</v>
      </c>
      <c r="C6" s="407"/>
      <c r="D6" s="3"/>
      <c r="E6" s="3"/>
      <c r="F6" s="6"/>
      <c r="G6" s="43" t="s">
        <v>30</v>
      </c>
      <c r="H6" s="289">
        <f>ROUND(+C10*C11*C23,4)</f>
        <v>0</v>
      </c>
      <c r="J6" s="293"/>
      <c r="K6" s="294"/>
      <c r="L6" s="294"/>
      <c r="M6" s="294"/>
      <c r="N6" s="294"/>
      <c r="O6" s="294"/>
      <c r="P6" s="295"/>
    </row>
    <row r="7" spans="2:22" ht="15" thickBot="1">
      <c r="B7" s="220" t="s">
        <v>14</v>
      </c>
      <c r="C7" s="408"/>
      <c r="D7" s="3"/>
      <c r="E7" s="3"/>
      <c r="F7" s="6"/>
      <c r="G7" s="43" t="s">
        <v>29</v>
      </c>
      <c r="H7" s="66">
        <f>ROUND(+C10*C11*C24,4)</f>
        <v>0</v>
      </c>
      <c r="J7" s="293"/>
      <c r="K7" s="294"/>
      <c r="L7" s="294"/>
      <c r="M7" s="294"/>
      <c r="N7" s="294"/>
      <c r="O7" s="294"/>
      <c r="P7" s="295"/>
      <c r="U7" s="6"/>
      <c r="V7" s="6"/>
    </row>
    <row r="8" spans="2:22" ht="15" thickBot="1">
      <c r="B8" s="222" t="s">
        <v>331</v>
      </c>
      <c r="C8" s="407"/>
      <c r="D8" s="3"/>
      <c r="E8" s="3"/>
      <c r="F8" s="6"/>
      <c r="G8" s="54" t="s">
        <v>71</v>
      </c>
      <c r="H8" s="66">
        <f>C8</f>
        <v>0</v>
      </c>
      <c r="J8" s="293"/>
      <c r="K8" s="294"/>
      <c r="L8" s="294"/>
      <c r="M8" s="294"/>
      <c r="N8" s="294"/>
      <c r="O8" s="294"/>
      <c r="P8" s="295"/>
      <c r="U8" s="6"/>
    </row>
    <row r="9" spans="2:22" ht="15" thickBot="1">
      <c r="B9" s="222" t="s">
        <v>332</v>
      </c>
      <c r="C9" s="407"/>
      <c r="D9" s="3"/>
      <c r="E9" s="3"/>
      <c r="F9" s="6"/>
      <c r="G9" s="43" t="s">
        <v>31</v>
      </c>
      <c r="H9" s="155">
        <f>SUM(H5:H8)</f>
        <v>0</v>
      </c>
      <c r="J9" s="293"/>
      <c r="K9" s="294"/>
      <c r="L9" s="294"/>
      <c r="M9" s="294"/>
      <c r="N9" s="294"/>
      <c r="O9" s="294"/>
      <c r="P9" s="295"/>
      <c r="U9" s="6"/>
    </row>
    <row r="10" spans="2:22" ht="15" thickBot="1">
      <c r="B10" s="221" t="s">
        <v>18</v>
      </c>
      <c r="C10" s="409"/>
      <c r="D10" s="3"/>
      <c r="E10" s="3"/>
      <c r="F10" s="6"/>
      <c r="G10" s="43" t="s">
        <v>72</v>
      </c>
      <c r="H10" s="66">
        <v>0</v>
      </c>
      <c r="J10" s="293"/>
      <c r="K10" s="294"/>
      <c r="L10" s="294"/>
      <c r="M10" s="294"/>
      <c r="N10" s="294"/>
      <c r="O10" s="294"/>
      <c r="P10" s="295"/>
    </row>
    <row r="11" spans="2:22" ht="15" thickBot="1">
      <c r="B11" s="220" t="s">
        <v>20</v>
      </c>
      <c r="C11" s="410"/>
      <c r="D11" s="3"/>
      <c r="E11" s="3"/>
      <c r="F11" s="6"/>
      <c r="G11" s="43" t="s">
        <v>73</v>
      </c>
      <c r="H11" s="66">
        <f>ROUND(+C17*C10*C11,4)</f>
        <v>0</v>
      </c>
      <c r="J11" s="293"/>
      <c r="K11" s="294"/>
      <c r="L11" s="294"/>
      <c r="M11" s="294"/>
      <c r="N11" s="294"/>
      <c r="O11" s="294"/>
      <c r="P11" s="295"/>
    </row>
    <row r="12" spans="2:22" ht="15" thickBot="1">
      <c r="B12" s="220" t="s">
        <v>22</v>
      </c>
      <c r="C12" s="410"/>
      <c r="D12" s="3"/>
      <c r="E12" s="3"/>
      <c r="F12" s="6"/>
      <c r="G12" s="43" t="s">
        <v>57</v>
      </c>
      <c r="H12" s="156" t="e">
        <f>ROUND((C10*C11)*C18,4)</f>
        <v>#N/A</v>
      </c>
      <c r="J12" s="293"/>
      <c r="K12" s="294"/>
      <c r="L12" s="294"/>
      <c r="M12" s="294"/>
      <c r="N12" s="294"/>
      <c r="O12" s="294"/>
      <c r="P12" s="295"/>
    </row>
    <row r="13" spans="2:22" ht="15" thickBot="1">
      <c r="B13" s="223" t="s">
        <v>24</v>
      </c>
      <c r="C13" s="411"/>
      <c r="D13" s="524" t="s">
        <v>306</v>
      </c>
      <c r="E13" s="525"/>
      <c r="F13" s="6"/>
      <c r="G13" s="43" t="s">
        <v>34</v>
      </c>
      <c r="H13" s="66" t="e">
        <f>H9+H10+H11+H12</f>
        <v>#N/A</v>
      </c>
      <c r="I13" s="148"/>
      <c r="J13" s="293"/>
      <c r="K13" s="294"/>
      <c r="L13" s="294"/>
      <c r="M13" s="294"/>
      <c r="N13" s="294"/>
      <c r="O13" s="294"/>
      <c r="P13" s="295"/>
    </row>
    <row r="14" spans="2:22" ht="15" thickBot="1">
      <c r="B14" s="350" t="s">
        <v>338</v>
      </c>
      <c r="C14" s="351" t="e">
        <f>H26</f>
        <v>#N/A</v>
      </c>
      <c r="D14" s="440" t="e">
        <f>H21+H25</f>
        <v>#N/A</v>
      </c>
      <c r="E14" s="321" t="e">
        <f>C14-D14</f>
        <v>#N/A</v>
      </c>
      <c r="F14" s="6"/>
      <c r="G14" s="27"/>
      <c r="H14" s="66"/>
      <c r="I14" s="148"/>
      <c r="J14" s="293"/>
      <c r="K14" s="294"/>
      <c r="L14" s="294"/>
      <c r="M14" s="294"/>
      <c r="N14" s="294"/>
      <c r="O14" s="294"/>
      <c r="P14" s="295"/>
    </row>
    <row r="15" spans="2:22" ht="15" thickBot="1">
      <c r="B15" s="149"/>
      <c r="C15" s="178"/>
      <c r="D15" s="3"/>
      <c r="E15" s="3"/>
      <c r="F15" s="6"/>
      <c r="G15" s="43" t="s">
        <v>35</v>
      </c>
      <c r="H15" s="68" t="e">
        <f>H13/C11</f>
        <v>#N/A</v>
      </c>
      <c r="J15" s="293"/>
      <c r="K15" s="294"/>
      <c r="L15" s="294"/>
      <c r="M15" s="294"/>
      <c r="N15" s="294"/>
      <c r="O15" s="294"/>
      <c r="P15" s="295"/>
    </row>
    <row r="16" spans="2:22">
      <c r="B16" s="145" t="s">
        <v>63</v>
      </c>
      <c r="C16" s="358">
        <f>Rates!C3</f>
        <v>0.74109999999999998</v>
      </c>
      <c r="D16" s="352"/>
      <c r="E16" s="352"/>
      <c r="F16" s="6"/>
      <c r="G16" s="43" t="s">
        <v>333</v>
      </c>
      <c r="H16" s="446">
        <f>C9</f>
        <v>0</v>
      </c>
      <c r="J16" s="293"/>
      <c r="K16" s="294"/>
      <c r="L16" s="294"/>
      <c r="M16" s="294"/>
      <c r="N16" s="294"/>
      <c r="O16" s="294"/>
      <c r="P16" s="295"/>
    </row>
    <row r="17" spans="2:18" ht="15" thickBot="1">
      <c r="B17" s="146" t="s">
        <v>66</v>
      </c>
      <c r="C17" s="369">
        <f>Rates!C5</f>
        <v>0.1245</v>
      </c>
      <c r="D17" s="352"/>
      <c r="E17" s="352"/>
      <c r="F17" s="325"/>
      <c r="G17" s="43" t="s">
        <v>36</v>
      </c>
      <c r="H17" s="68">
        <f>ROUND(+C19*C10,4)</f>
        <v>0</v>
      </c>
      <c r="J17" s="296"/>
      <c r="K17" s="297"/>
      <c r="L17" s="297"/>
      <c r="M17" s="297"/>
      <c r="N17" s="297"/>
      <c r="O17" s="297"/>
      <c r="P17" s="298"/>
      <c r="R17" s="10"/>
    </row>
    <row r="18" spans="2:18">
      <c r="B18" s="146" t="s">
        <v>67</v>
      </c>
      <c r="C18" s="371" t="e">
        <f>VLOOKUP(C4,Rates!A14:B15,2,FALSE)</f>
        <v>#N/A</v>
      </c>
      <c r="D18" s="353"/>
      <c r="E18" s="353"/>
      <c r="F18" s="343"/>
      <c r="G18" s="43" t="s">
        <v>19</v>
      </c>
      <c r="H18" s="277">
        <f>IF(C5="Refillable",0,ROUND(+C20*C12,4))</f>
        <v>0</v>
      </c>
      <c r="Q18" s="6"/>
      <c r="R18" s="10"/>
    </row>
    <row r="19" spans="2:18" ht="15" thickBot="1">
      <c r="B19" s="146" t="s">
        <v>68</v>
      </c>
      <c r="C19" s="369">
        <f>Rates!B7</f>
        <v>0.17599999999999999</v>
      </c>
      <c r="D19" s="354"/>
      <c r="E19" s="354"/>
      <c r="F19" s="344"/>
      <c r="G19" s="43" t="s">
        <v>38</v>
      </c>
      <c r="H19" s="68" t="e">
        <f>ROUND(SUM(H15:H18),4)</f>
        <v>#N/A</v>
      </c>
    </row>
    <row r="20" spans="2:18" ht="16" thickBot="1">
      <c r="B20" s="146" t="s">
        <v>19</v>
      </c>
      <c r="C20" s="369">
        <f>Rates!B77</f>
        <v>8.9300000000000004E-2</v>
      </c>
      <c r="D20" s="352"/>
      <c r="E20" s="352"/>
      <c r="F20" s="343"/>
      <c r="G20" s="43" t="s">
        <v>21</v>
      </c>
      <c r="H20" s="277" t="e">
        <f>ROUND(+H19*C22,2)</f>
        <v>#N/A</v>
      </c>
      <c r="J20" s="93" t="s">
        <v>40</v>
      </c>
      <c r="K20" s="94"/>
      <c r="Q20" s="6"/>
    </row>
    <row r="21" spans="2:18" ht="15" customHeight="1">
      <c r="B21" s="43" t="s">
        <v>23</v>
      </c>
      <c r="C21" s="371">
        <f>IF(C10&lt;=20,20,50)</f>
        <v>20</v>
      </c>
      <c r="D21" s="355"/>
      <c r="E21" s="355"/>
      <c r="F21" s="343"/>
      <c r="G21" s="43" t="s">
        <v>39</v>
      </c>
      <c r="H21" s="68" t="e">
        <f>SUM(H20+H19)</f>
        <v>#N/A</v>
      </c>
      <c r="J21" s="538" t="s">
        <v>334</v>
      </c>
      <c r="K21" s="539"/>
      <c r="Q21" s="6"/>
    </row>
    <row r="22" spans="2:18">
      <c r="B22" s="146" t="s">
        <v>21</v>
      </c>
      <c r="C22" s="373">
        <f>Rates!B79</f>
        <v>0.13</v>
      </c>
      <c r="D22" s="356"/>
      <c r="E22" s="356"/>
      <c r="F22" s="345"/>
      <c r="G22" s="337" t="s">
        <v>305</v>
      </c>
      <c r="H22" s="161" t="e">
        <f>H24-H23</f>
        <v>#N/A</v>
      </c>
      <c r="J22" s="540"/>
      <c r="K22" s="541"/>
      <c r="Q22" s="6"/>
    </row>
    <row r="23" spans="2:18">
      <c r="B23" s="146" t="s">
        <v>69</v>
      </c>
      <c r="C23" s="370">
        <f>Rates!B39/100</f>
        <v>0.36950000000000005</v>
      </c>
      <c r="D23" s="353"/>
      <c r="E23" s="353"/>
      <c r="F23" s="343"/>
      <c r="G23" s="337" t="s">
        <v>21</v>
      </c>
      <c r="H23" s="278" t="e">
        <f>ROUND(+H24*(C22*100/(100+C22*100)),2)</f>
        <v>#N/A</v>
      </c>
      <c r="J23" s="540"/>
      <c r="K23" s="541"/>
      <c r="Q23" s="6"/>
      <c r="R23" s="8"/>
    </row>
    <row r="24" spans="2:18" ht="15" thickBot="1">
      <c r="B24" s="147" t="s">
        <v>70</v>
      </c>
      <c r="C24" s="372">
        <f>Rates!B32</f>
        <v>0</v>
      </c>
      <c r="D24" s="357"/>
      <c r="E24" s="357"/>
      <c r="F24" s="343"/>
      <c r="G24" s="447" t="s">
        <v>337</v>
      </c>
      <c r="H24" s="161" t="e">
        <f>MAX(CEILING(H21,0.05))</f>
        <v>#N/A</v>
      </c>
      <c r="J24" s="540"/>
      <c r="K24" s="541"/>
    </row>
    <row r="25" spans="2:18" ht="15" thickBot="1">
      <c r="F25" s="343"/>
      <c r="G25" s="448" t="s">
        <v>336</v>
      </c>
      <c r="H25" s="161">
        <f>C21</f>
        <v>20</v>
      </c>
      <c r="J25" s="540"/>
      <c r="K25" s="541"/>
    </row>
    <row r="26" spans="2:18" ht="16" thickBot="1">
      <c r="F26" s="343"/>
      <c r="G26" s="57" t="s">
        <v>339</v>
      </c>
      <c r="H26" s="58" t="e">
        <f>SUM(H24:H25)</f>
        <v>#N/A</v>
      </c>
      <c r="J26" s="542"/>
      <c r="K26" s="543"/>
    </row>
    <row r="27" spans="2:18">
      <c r="F27" s="343"/>
    </row>
    <row r="28" spans="2:18">
      <c r="F28" s="346"/>
      <c r="G28" s="1" t="s">
        <v>4</v>
      </c>
    </row>
    <row r="29" spans="2:18">
      <c r="F29" s="346"/>
      <c r="G29" s="228" t="s">
        <v>8</v>
      </c>
    </row>
    <row r="30" spans="2:18">
      <c r="F30" s="347"/>
    </row>
    <row r="31" spans="2:18">
      <c r="F31" s="346"/>
    </row>
    <row r="32" spans="2:18">
      <c r="F32" s="348"/>
    </row>
    <row r="33" spans="2:17">
      <c r="F33" s="349"/>
    </row>
    <row r="34" spans="2:17">
      <c r="F34" s="349"/>
    </row>
    <row r="35" spans="2:17">
      <c r="F35" s="349"/>
    </row>
    <row r="36" spans="2:17">
      <c r="F36" s="348"/>
      <c r="Q36" s="117"/>
    </row>
    <row r="37" spans="2:17">
      <c r="F37" s="349"/>
    </row>
    <row r="38" spans="2:17">
      <c r="F38" s="349"/>
    </row>
    <row r="39" spans="2:17">
      <c r="F39" s="349"/>
    </row>
    <row r="40" spans="2:17">
      <c r="F40" s="290"/>
    </row>
    <row r="41" spans="2:17" ht="15.5">
      <c r="F41" s="336"/>
      <c r="P41" s="4"/>
    </row>
    <row r="42" spans="2:17">
      <c r="B42" s="5"/>
      <c r="C42" s="118"/>
      <c r="D42" s="118"/>
      <c r="E42" s="118"/>
    </row>
    <row r="43" spans="2:17">
      <c r="F43" s="118"/>
    </row>
    <row r="46" spans="2:17">
      <c r="P46" s="8"/>
    </row>
    <row r="47" spans="2:17">
      <c r="C47" s="119"/>
      <c r="D47" s="119"/>
      <c r="E47" s="119"/>
      <c r="P47" s="8"/>
    </row>
    <row r="48" spans="2:17">
      <c r="F48" s="119"/>
    </row>
    <row r="49" spans="2:18">
      <c r="P49" s="11"/>
    </row>
    <row r="50" spans="2:18">
      <c r="C50" s="120"/>
      <c r="D50" s="120"/>
      <c r="E50" s="120"/>
    </row>
    <row r="51" spans="2:18">
      <c r="B51" s="121"/>
      <c r="C51" s="121"/>
      <c r="D51" s="121"/>
      <c r="E51" s="121"/>
      <c r="F51" s="120"/>
      <c r="I51" s="8"/>
      <c r="P51" s="8"/>
    </row>
    <row r="52" spans="2:18">
      <c r="B52" s="120"/>
      <c r="C52" s="120"/>
      <c r="D52" s="120"/>
      <c r="E52" s="120"/>
      <c r="F52" s="121"/>
    </row>
    <row r="53" spans="2:18">
      <c r="F53" s="120"/>
      <c r="P53" s="8"/>
    </row>
    <row r="54" spans="2:18">
      <c r="P54" s="8"/>
    </row>
    <row r="55" spans="2:18">
      <c r="B55" s="8"/>
      <c r="C55" s="8"/>
      <c r="D55" s="8"/>
      <c r="E55" s="8"/>
      <c r="P55" s="11"/>
    </row>
    <row r="56" spans="2:18">
      <c r="B56" s="8"/>
      <c r="C56" s="8"/>
      <c r="D56" s="8"/>
      <c r="E56" s="8"/>
      <c r="F56" s="8"/>
      <c r="P56" s="8"/>
    </row>
    <row r="57" spans="2:18">
      <c r="B57" s="8"/>
      <c r="C57" s="8"/>
      <c r="D57" s="8"/>
      <c r="E57" s="8"/>
      <c r="F57" s="8"/>
      <c r="I57" s="8"/>
      <c r="P57" s="8"/>
    </row>
    <row r="58" spans="2:18">
      <c r="B58" s="8"/>
      <c r="C58" s="8"/>
      <c r="D58" s="8"/>
      <c r="E58" s="8"/>
      <c r="F58" s="8"/>
      <c r="R58" s="11"/>
    </row>
    <row r="59" spans="2:18">
      <c r="B59" s="8"/>
      <c r="C59" s="8"/>
      <c r="D59" s="8"/>
      <c r="E59" s="8"/>
      <c r="F59" s="8"/>
      <c r="I59" s="11"/>
      <c r="P59" s="8"/>
    </row>
    <row r="60" spans="2:18">
      <c r="B60" s="8"/>
      <c r="C60" s="8"/>
      <c r="D60" s="8"/>
      <c r="E60" s="8"/>
      <c r="F60" s="8"/>
      <c r="P60" s="8"/>
      <c r="Q60" s="122"/>
      <c r="R60" s="123"/>
    </row>
    <row r="61" spans="2:18">
      <c r="B61" s="8"/>
      <c r="C61" s="8"/>
      <c r="D61" s="8"/>
      <c r="E61" s="8"/>
      <c r="F61" s="8"/>
      <c r="P61" s="11"/>
    </row>
    <row r="62" spans="2:18">
      <c r="B62" s="8"/>
      <c r="C62" s="8"/>
      <c r="D62" s="8"/>
      <c r="E62" s="8"/>
      <c r="F62" s="8"/>
      <c r="P62" s="8"/>
      <c r="Q62" s="124"/>
      <c r="R62" s="8"/>
    </row>
    <row r="63" spans="2:18">
      <c r="B63" s="8"/>
      <c r="C63" s="8"/>
      <c r="D63" s="8"/>
      <c r="E63" s="8"/>
      <c r="F63" s="8"/>
      <c r="I63" s="8"/>
      <c r="P63" s="11"/>
      <c r="R63" s="8"/>
    </row>
    <row r="64" spans="2:18">
      <c r="B64" s="8"/>
      <c r="C64" s="8"/>
      <c r="D64" s="8"/>
      <c r="E64" s="8"/>
      <c r="F64" s="8"/>
      <c r="P64" s="8"/>
      <c r="R64" s="11"/>
    </row>
    <row r="65" spans="2:16">
      <c r="B65" s="8"/>
      <c r="C65" s="8"/>
      <c r="D65" s="8"/>
      <c r="E65" s="8"/>
      <c r="F65" s="8"/>
      <c r="I65" s="11"/>
      <c r="P65" s="123"/>
    </row>
    <row r="66" spans="2:16">
      <c r="B66" s="8"/>
      <c r="C66" s="8"/>
      <c r="D66" s="8"/>
      <c r="E66" s="8"/>
      <c r="F66" s="8"/>
      <c r="P66" s="8"/>
    </row>
    <row r="67" spans="2:16">
      <c r="B67" s="8"/>
      <c r="C67" s="8"/>
      <c r="D67" s="8"/>
      <c r="E67" s="8"/>
      <c r="F67" s="8"/>
      <c r="I67" s="11"/>
      <c r="P67" s="11"/>
    </row>
    <row r="68" spans="2:16">
      <c r="B68" s="8"/>
      <c r="C68" s="8"/>
      <c r="D68" s="8"/>
      <c r="E68" s="8"/>
      <c r="F68" s="8"/>
      <c r="P68" s="8"/>
    </row>
    <row r="69" spans="2:16">
      <c r="B69" s="8"/>
      <c r="C69" s="8"/>
      <c r="D69" s="8"/>
      <c r="E69" s="8"/>
      <c r="F69" s="8"/>
      <c r="P69" s="8"/>
    </row>
    <row r="70" spans="2:16">
      <c r="B70" s="8"/>
      <c r="C70" s="8"/>
      <c r="D70" s="8"/>
      <c r="E70" s="8"/>
      <c r="F70" s="8"/>
      <c r="P70" s="8"/>
    </row>
    <row r="71" spans="2:16">
      <c r="F71" s="8"/>
      <c r="I71" s="11"/>
      <c r="P71" s="8"/>
    </row>
    <row r="73" spans="2:16">
      <c r="P73" s="125"/>
    </row>
    <row r="75" spans="2:16">
      <c r="P75" s="9"/>
    </row>
    <row r="77" spans="2:16">
      <c r="I77" s="11"/>
    </row>
    <row r="79" spans="2:16">
      <c r="I79" s="9"/>
      <c r="P79" s="9"/>
    </row>
    <row r="83" spans="3:16">
      <c r="I83" s="9"/>
    </row>
    <row r="84" spans="3:16">
      <c r="C84" s="9"/>
      <c r="D84" s="9"/>
      <c r="E84" s="9"/>
    </row>
    <row r="85" spans="3:16">
      <c r="F85" s="9"/>
      <c r="P85" s="9"/>
    </row>
    <row r="89" spans="3:16">
      <c r="I89" s="9"/>
    </row>
    <row r="90" spans="3:16">
      <c r="C90" s="9"/>
      <c r="D90" s="9"/>
      <c r="E90" s="9"/>
    </row>
    <row r="91" spans="3:16">
      <c r="F91" s="9"/>
    </row>
  </sheetData>
  <sheetProtection formatColumns="0" autoFilter="0" pivotTables="0"/>
  <protectedRanges>
    <protectedRange sqref="C23:E24 C4 C18:E18 C6:C14 C21:E21" name="Range1"/>
    <protectedRange password="CCE3" sqref="B21" name="Range3_1"/>
  </protectedRanges>
  <mergeCells count="2">
    <mergeCell ref="D13:E13"/>
    <mergeCell ref="J21:K26"/>
  </mergeCells>
  <conditionalFormatting sqref="E14">
    <cfRule type="cellIs" dxfId="8" priority="1" operator="lessThan">
      <formula>0</formula>
    </cfRule>
    <cfRule type="cellIs" dxfId="7" priority="2" operator="greaterThan">
      <formula>0</formula>
    </cfRule>
    <cfRule type="cellIs" dxfId="6" priority="3" operator="greaterThan">
      <formula>0</formula>
    </cfRule>
  </conditionalFormatting>
  <hyperlinks>
    <hyperlink ref="G29" r:id="rId1" display="https://www.doingbusinesswithlcbo.com/content/dbwl/en/basepage/home/new-supplier-agent/Pricing/HelpfulToolsandLinks.html" xr:uid="{00C62198-157D-4AD5-9074-80FBB66F6851}"/>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A19F96D-9451-42FB-B7BE-D15B79D66093}">
          <x14:formula1>
            <xm:f>Rates!$F$94:$F$95</xm:f>
          </x14:formula1>
          <xm:sqref>C5</xm:sqref>
        </x14:dataValidation>
        <x14:dataValidation type="list" allowBlank="1" showInputMessage="1" showErrorMessage="1" xr:uid="{C20A0E15-55FE-4001-8E7F-62DBE011476C}">
          <x14:formula1>
            <xm:f>Rates!$B$94:$B$95</xm:f>
          </x14:formula1>
          <xm:sqref>C4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CEC8-1E69-4342-8EA7-5242FD9FF158}">
  <sheetPr codeName="Sheet15">
    <tabColor rgb="FFFFFF00"/>
  </sheetPr>
  <dimension ref="A1:W47"/>
  <sheetViews>
    <sheetView zoomScaleNormal="100" workbookViewId="0">
      <selection activeCell="B1" sqref="B1"/>
    </sheetView>
  </sheetViews>
  <sheetFormatPr defaultColWidth="7.4609375" defaultRowHeight="14.5"/>
  <cols>
    <col min="1" max="1" width="2.765625" style="1" customWidth="1"/>
    <col min="2" max="2" width="23.3046875" style="1" customWidth="1"/>
    <col min="3" max="3" width="20.69140625" style="6" customWidth="1"/>
    <col min="4" max="4" width="7.4609375" style="6" customWidth="1"/>
    <col min="5" max="5" width="9.4609375" style="6" customWidth="1"/>
    <col min="6" max="6" width="1.765625" style="6" customWidth="1"/>
    <col min="7" max="7" width="23.765625" style="6" customWidth="1"/>
    <col min="8" max="8" width="20.69140625" style="6" customWidth="1"/>
    <col min="9" max="9" width="5.765625" style="6" customWidth="1"/>
    <col min="10" max="10" width="17.69140625" style="1" bestFit="1" customWidth="1"/>
    <col min="11" max="11" width="10.765625" style="1" customWidth="1"/>
    <col min="12" max="12" width="8.69140625" style="1" customWidth="1"/>
    <col min="13" max="13" width="8.23046875" style="1" customWidth="1"/>
    <col min="14" max="14" width="6.53515625" style="1" customWidth="1"/>
    <col min="15" max="15" width="4.69140625" style="1" customWidth="1"/>
    <col min="16" max="16" width="16.23046875" style="1" customWidth="1"/>
    <col min="17" max="17" width="12.84375" style="1" customWidth="1"/>
    <col min="18"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4" t="s">
        <v>507</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50</v>
      </c>
      <c r="C4" s="399"/>
      <c r="G4" s="65" t="s">
        <v>55</v>
      </c>
      <c r="H4" s="99"/>
      <c r="J4" s="291" t="s">
        <v>300</v>
      </c>
      <c r="K4" s="25"/>
      <c r="L4" s="292"/>
      <c r="M4" s="25"/>
      <c r="N4" s="25"/>
      <c r="O4" s="25"/>
      <c r="P4" s="115"/>
    </row>
    <row r="5" spans="2:22" ht="15" thickBot="1">
      <c r="B5" s="33" t="s">
        <v>64</v>
      </c>
      <c r="C5" s="400"/>
      <c r="G5" s="40" t="s">
        <v>56</v>
      </c>
      <c r="H5" s="41">
        <f>ROUND(C7*C8,4)</f>
        <v>0</v>
      </c>
      <c r="J5" s="299"/>
      <c r="K5" s="300"/>
      <c r="L5" s="300"/>
      <c r="M5" s="300"/>
      <c r="N5" s="300"/>
      <c r="O5" s="300"/>
      <c r="P5" s="301"/>
    </row>
    <row r="6" spans="2:22" ht="15" thickBot="1">
      <c r="B6" s="220" t="s">
        <v>342</v>
      </c>
      <c r="C6" s="400"/>
      <c r="G6" s="27" t="s">
        <v>30</v>
      </c>
      <c r="H6" s="288">
        <f>IF(C4=Rates!A66, ROUND(C12*C11*C14*C17,4),ROUND(+C12*C11*C17,4))</f>
        <v>0</v>
      </c>
      <c r="J6" s="293"/>
      <c r="K6" s="294"/>
      <c r="L6" s="294"/>
      <c r="M6" s="294"/>
      <c r="N6" s="294"/>
      <c r="O6" s="294"/>
      <c r="P6" s="295"/>
      <c r="T6" s="26"/>
    </row>
    <row r="7" spans="2:22" ht="15" thickBot="1">
      <c r="B7" s="33" t="s">
        <v>12</v>
      </c>
      <c r="C7" s="401"/>
      <c r="G7" s="27" t="s">
        <v>29</v>
      </c>
      <c r="H7" s="42">
        <f>H5*C18</f>
        <v>0</v>
      </c>
      <c r="J7" s="293"/>
      <c r="K7" s="294"/>
      <c r="L7" s="294"/>
      <c r="M7" s="294"/>
      <c r="N7" s="294"/>
      <c r="O7" s="294"/>
      <c r="P7" s="295"/>
    </row>
    <row r="8" spans="2:22" ht="15" thickBot="1">
      <c r="B8" s="220" t="s">
        <v>14</v>
      </c>
      <c r="C8" s="402"/>
      <c r="G8" s="43" t="s">
        <v>16</v>
      </c>
      <c r="H8" s="42">
        <f>C9</f>
        <v>0</v>
      </c>
      <c r="J8" s="293"/>
      <c r="K8" s="294"/>
      <c r="L8" s="294"/>
      <c r="M8" s="294"/>
      <c r="N8" s="294"/>
      <c r="O8" s="294"/>
      <c r="P8" s="295"/>
      <c r="T8" s="26"/>
    </row>
    <row r="9" spans="2:22" ht="15" thickBot="1">
      <c r="B9" s="222" t="s">
        <v>335</v>
      </c>
      <c r="C9" s="401"/>
      <c r="G9" s="43" t="s">
        <v>31</v>
      </c>
      <c r="H9" s="44">
        <f>SUM(H5:H8)</f>
        <v>0</v>
      </c>
      <c r="J9" s="293"/>
      <c r="K9" s="294"/>
      <c r="L9" s="294"/>
      <c r="M9" s="294"/>
      <c r="N9" s="294"/>
      <c r="O9" s="294"/>
      <c r="P9" s="295"/>
    </row>
    <row r="10" spans="2:22" ht="15" thickBot="1">
      <c r="B10" s="222" t="s">
        <v>333</v>
      </c>
      <c r="C10" s="401"/>
      <c r="G10" s="43" t="s">
        <v>57</v>
      </c>
      <c r="H10" s="45" t="e">
        <f>ROUND(H9*C20,4)</f>
        <v>#N/A</v>
      </c>
      <c r="J10" s="293"/>
      <c r="K10" s="294"/>
      <c r="L10" s="294"/>
      <c r="M10" s="294"/>
      <c r="N10" s="294"/>
      <c r="O10" s="294"/>
      <c r="P10" s="295"/>
      <c r="T10" s="26"/>
    </row>
    <row r="11" spans="2:22" ht="15" thickBot="1">
      <c r="B11" s="221" t="s">
        <v>18</v>
      </c>
      <c r="C11" s="403"/>
      <c r="G11" s="43" t="s">
        <v>58</v>
      </c>
      <c r="H11" s="42" t="e">
        <f>SUM(H9:H10)</f>
        <v>#N/A</v>
      </c>
      <c r="J11" s="293"/>
      <c r="K11" s="294"/>
      <c r="L11" s="294"/>
      <c r="M11" s="294"/>
      <c r="N11" s="294"/>
      <c r="O11" s="294"/>
      <c r="P11" s="295"/>
    </row>
    <row r="12" spans="2:22" ht="15" thickBot="1">
      <c r="B12" s="220" t="s">
        <v>20</v>
      </c>
      <c r="C12" s="404"/>
      <c r="G12" s="43"/>
      <c r="H12" s="80"/>
      <c r="J12" s="293"/>
      <c r="K12" s="294"/>
      <c r="L12" s="294"/>
      <c r="M12" s="294"/>
      <c r="N12" s="294"/>
      <c r="O12" s="294"/>
      <c r="P12" s="295"/>
      <c r="T12" s="26"/>
    </row>
    <row r="13" spans="2:22" ht="15" thickBot="1">
      <c r="B13" s="220" t="s">
        <v>22</v>
      </c>
      <c r="C13" s="404"/>
      <c r="G13" s="43" t="s">
        <v>35</v>
      </c>
      <c r="H13" s="45" t="e">
        <f>ROUND(H11/C12,4)</f>
        <v>#N/A</v>
      </c>
      <c r="J13" s="293"/>
      <c r="K13" s="294"/>
      <c r="L13" s="294"/>
      <c r="M13" s="294"/>
      <c r="N13" s="294"/>
      <c r="O13" s="294"/>
      <c r="P13" s="295"/>
    </row>
    <row r="14" spans="2:22" ht="15" thickBot="1">
      <c r="B14" s="223" t="s">
        <v>24</v>
      </c>
      <c r="C14" s="405"/>
      <c r="D14" s="524" t="s">
        <v>306</v>
      </c>
      <c r="E14" s="525"/>
      <c r="G14" s="43" t="s">
        <v>333</v>
      </c>
      <c r="H14" s="45">
        <f>C10</f>
        <v>0</v>
      </c>
      <c r="J14" s="293"/>
      <c r="K14" s="294"/>
      <c r="L14" s="294"/>
      <c r="M14" s="294"/>
      <c r="N14" s="294"/>
      <c r="O14" s="294"/>
      <c r="P14" s="295"/>
    </row>
    <row r="15" spans="2:22" ht="15" thickBot="1">
      <c r="B15" s="350" t="s">
        <v>338</v>
      </c>
      <c r="C15" s="342" t="e">
        <f>H25</f>
        <v>#N/A</v>
      </c>
      <c r="D15" s="440" t="e">
        <f>H20+H24</f>
        <v>#N/A</v>
      </c>
      <c r="E15" s="321" t="e">
        <f>C15-D15</f>
        <v>#N/A</v>
      </c>
      <c r="G15" s="43" t="s">
        <v>36</v>
      </c>
      <c r="H15" s="42">
        <f>ROUND(C21*C11,4)</f>
        <v>0</v>
      </c>
      <c r="J15" s="293"/>
      <c r="K15" s="294"/>
      <c r="L15" s="294"/>
      <c r="M15" s="294"/>
      <c r="N15" s="294"/>
      <c r="O15" s="294"/>
      <c r="P15" s="295"/>
    </row>
    <row r="16" spans="2:22" ht="15" thickBot="1">
      <c r="C16" s="25"/>
      <c r="G16" s="43" t="s">
        <v>37</v>
      </c>
      <c r="H16" s="42">
        <v>0</v>
      </c>
      <c r="J16" s="296"/>
      <c r="K16" s="297"/>
      <c r="L16" s="297"/>
      <c r="M16" s="297"/>
      <c r="N16" s="297"/>
      <c r="O16" s="297"/>
      <c r="P16" s="298"/>
      <c r="S16" s="7"/>
      <c r="T16" s="3"/>
      <c r="U16" s="7"/>
      <c r="V16" s="3"/>
    </row>
    <row r="17" spans="1:23" ht="15" thickBot="1">
      <c r="B17" s="52" t="s">
        <v>3</v>
      </c>
      <c r="C17" s="382">
        <f>IF(C6="Domestic",0,Rates!B27)</f>
        <v>0.35099999999999998</v>
      </c>
      <c r="G17" s="43" t="s">
        <v>19</v>
      </c>
      <c r="H17" s="449">
        <f>IF(C5="Non-Refillable",ROUND(C22*C13,4),0)</f>
        <v>0</v>
      </c>
      <c r="J17" s="8"/>
      <c r="S17" s="7"/>
      <c r="U17" s="3"/>
      <c r="V17" s="29"/>
    </row>
    <row r="18" spans="1:23" ht="16" thickBot="1">
      <c r="B18" s="43" t="s">
        <v>7</v>
      </c>
      <c r="C18" s="365">
        <f>IF(C6="Other",IF(C4="Still Cider",Rates!B130,IF(C4="Sparkling Cider",Rates!B131,Rates!B132)),0)</f>
        <v>0</v>
      </c>
      <c r="G18" s="43" t="s">
        <v>38</v>
      </c>
      <c r="H18" s="45" t="e">
        <f>SUM(H13:H17)</f>
        <v>#N/A</v>
      </c>
      <c r="J18" s="93" t="s">
        <v>40</v>
      </c>
      <c r="K18" s="94"/>
      <c r="S18" s="29"/>
      <c r="T18" s="29"/>
    </row>
    <row r="19" spans="1:23" ht="15.75" customHeight="1">
      <c r="B19" s="27" t="s">
        <v>11</v>
      </c>
      <c r="C19" s="365">
        <v>0</v>
      </c>
      <c r="D19" s="524" t="s">
        <v>301</v>
      </c>
      <c r="E19" s="525"/>
      <c r="G19" s="43" t="s">
        <v>21</v>
      </c>
      <c r="H19" s="44" t="e">
        <f>ROUND(H18*C23,4)</f>
        <v>#N/A</v>
      </c>
      <c r="J19" s="538" t="s">
        <v>334</v>
      </c>
      <c r="K19" s="539"/>
      <c r="R19" s="18"/>
      <c r="S19" s="18"/>
    </row>
    <row r="20" spans="1:23" ht="15.75" customHeight="1">
      <c r="B20" s="43" t="s">
        <v>17</v>
      </c>
      <c r="C20" s="362" t="e">
        <f>VLOOKUP(C4,Rates!A66:C71,2,0)</f>
        <v>#N/A</v>
      </c>
      <c r="D20" s="322" t="e">
        <f>C38</f>
        <v>#N/A</v>
      </c>
      <c r="E20" s="321" t="e">
        <f>D20-C20</f>
        <v>#N/A</v>
      </c>
      <c r="F20" s="328"/>
      <c r="G20" s="43" t="s">
        <v>39</v>
      </c>
      <c r="H20" s="45" t="e">
        <f>SUM(H18:H19)</f>
        <v>#N/A</v>
      </c>
      <c r="J20" s="540"/>
      <c r="K20" s="541"/>
      <c r="S20" s="29"/>
      <c r="T20" s="18"/>
      <c r="U20" s="18"/>
    </row>
    <row r="21" spans="1:23" ht="15.75" customHeight="1">
      <c r="B21" s="43" t="s">
        <v>36</v>
      </c>
      <c r="C21" s="360">
        <f>IF(C4=Rates!A66,Rates!B54,Rates!B55)</f>
        <v>0.28000000000000003</v>
      </c>
      <c r="D21" s="327"/>
      <c r="E21" s="327"/>
      <c r="F21" s="327"/>
      <c r="G21" s="337" t="s">
        <v>305</v>
      </c>
      <c r="H21" s="49" t="e">
        <f>H23-H22</f>
        <v>#N/A</v>
      </c>
      <c r="J21" s="540"/>
      <c r="K21" s="541"/>
      <c r="S21" s="29"/>
      <c r="T21" s="18"/>
      <c r="U21" s="18"/>
    </row>
    <row r="22" spans="1:23" ht="15.75" customHeight="1">
      <c r="B22" s="43" t="s">
        <v>19</v>
      </c>
      <c r="C22" s="360">
        <f>Rates!B77</f>
        <v>8.9300000000000004E-2</v>
      </c>
      <c r="D22" s="329"/>
      <c r="E22" s="329"/>
      <c r="F22" s="327"/>
      <c r="G22" s="337" t="s">
        <v>21</v>
      </c>
      <c r="H22" s="78" t="e">
        <f>ROUND(H23*C23/(1+C23),2)</f>
        <v>#N/A</v>
      </c>
      <c r="J22" s="540"/>
      <c r="K22" s="541"/>
      <c r="S22" s="29"/>
      <c r="T22" s="18"/>
      <c r="U22" s="18"/>
    </row>
    <row r="23" spans="1:23" ht="15.75" customHeight="1">
      <c r="B23" s="43" t="s">
        <v>21</v>
      </c>
      <c r="C23" s="362">
        <f>Rates!B79</f>
        <v>0.13</v>
      </c>
      <c r="D23" s="330"/>
      <c r="E23" s="330"/>
      <c r="F23" s="329"/>
      <c r="G23" s="447" t="s">
        <v>337</v>
      </c>
      <c r="H23" s="50" t="e">
        <f>IF(C38&lt;C20,C36+0.05,C36)</f>
        <v>#N/A</v>
      </c>
      <c r="J23" s="540"/>
      <c r="K23" s="541"/>
      <c r="S23" s="29"/>
      <c r="T23" s="18"/>
      <c r="U23" s="18"/>
    </row>
    <row r="24" spans="1:23" ht="16.5" customHeight="1" thickBot="1">
      <c r="B24" s="43" t="s">
        <v>23</v>
      </c>
      <c r="C24" s="360">
        <f>IF(C11&lt;=20,20,50)</f>
        <v>20</v>
      </c>
      <c r="D24" s="327"/>
      <c r="E24" s="327"/>
      <c r="F24" s="330"/>
      <c r="G24" s="448" t="s">
        <v>336</v>
      </c>
      <c r="H24" s="51">
        <f>ROUND(C13*C24,2)</f>
        <v>0</v>
      </c>
      <c r="J24" s="542"/>
      <c r="K24" s="543"/>
      <c r="S24" s="29"/>
      <c r="T24" s="18"/>
      <c r="U24" s="81"/>
    </row>
    <row r="25" spans="1:23" ht="16" thickBot="1">
      <c r="B25" s="56" t="s">
        <v>25</v>
      </c>
      <c r="C25" s="364">
        <f>+ROUND(((C11*C12)*C14),4)</f>
        <v>0</v>
      </c>
      <c r="D25" s="331"/>
      <c r="E25" s="331"/>
      <c r="F25" s="327"/>
      <c r="G25" s="57" t="s">
        <v>339</v>
      </c>
      <c r="H25" s="58" t="e">
        <f>SUM(H23:H24)</f>
        <v>#N/A</v>
      </c>
      <c r="J25" s="82"/>
      <c r="S25" s="29"/>
      <c r="T25" s="18"/>
    </row>
    <row r="26" spans="1:23">
      <c r="D26" s="330"/>
      <c r="E26" s="330"/>
      <c r="F26" s="331"/>
      <c r="G26" s="332"/>
      <c r="H26" s="332"/>
      <c r="J26" s="75"/>
      <c r="K26" s="75"/>
      <c r="L26" s="75"/>
      <c r="M26" s="75"/>
      <c r="S26" s="29"/>
      <c r="T26" s="18"/>
      <c r="U26" s="18"/>
    </row>
    <row r="27" spans="1:23">
      <c r="D27" s="327"/>
      <c r="E27" s="327"/>
      <c r="F27" s="330"/>
      <c r="G27" s="1" t="s">
        <v>4</v>
      </c>
      <c r="H27" s="330"/>
      <c r="J27" s="75"/>
      <c r="K27" s="75"/>
      <c r="L27" s="75"/>
      <c r="S27" s="29"/>
      <c r="T27" s="18"/>
      <c r="U27" s="18"/>
    </row>
    <row r="28" spans="1:23" ht="15" customHeight="1">
      <c r="D28" s="327"/>
      <c r="E28" s="327"/>
      <c r="F28" s="327"/>
      <c r="G28" s="228" t="s">
        <v>8</v>
      </c>
      <c r="H28" s="329"/>
      <c r="J28" s="9"/>
      <c r="S28" s="29"/>
      <c r="T28" s="18"/>
      <c r="U28" s="18"/>
    </row>
    <row r="29" spans="1:23" s="75" customFormat="1" hidden="1">
      <c r="A29" s="1"/>
      <c r="B29" s="1"/>
      <c r="C29" s="6"/>
      <c r="D29" s="329"/>
      <c r="E29" s="329"/>
      <c r="F29" s="327"/>
      <c r="G29" s="326"/>
      <c r="H29" s="326"/>
      <c r="I29" s="329"/>
      <c r="J29" s="14"/>
      <c r="K29" s="1"/>
      <c r="L29" s="1"/>
      <c r="M29" s="1"/>
      <c r="N29" s="1"/>
      <c r="O29" s="1"/>
      <c r="P29" s="1"/>
      <c r="Q29" s="1"/>
      <c r="S29" s="77"/>
      <c r="T29" s="91"/>
      <c r="U29" s="92"/>
      <c r="V29" s="76"/>
      <c r="W29" s="76"/>
    </row>
    <row r="30" spans="1:23" s="75" customFormat="1" hidden="1">
      <c r="B30" s="1" t="s">
        <v>44</v>
      </c>
      <c r="C30" s="23" t="e">
        <f>ROUND(((H21-H17-H15-H16)*C12)/H9-1,4)</f>
        <v>#N/A</v>
      </c>
      <c r="D30" s="326"/>
      <c r="E30" s="326"/>
      <c r="F30" s="329"/>
      <c r="G30" s="325"/>
      <c r="H30" s="325"/>
      <c r="I30" s="326"/>
      <c r="J30" s="14"/>
      <c r="K30" s="1"/>
      <c r="L30" s="1"/>
      <c r="M30" s="1"/>
      <c r="N30" s="1"/>
      <c r="O30" s="1"/>
      <c r="P30" s="1"/>
      <c r="Q30" s="1"/>
      <c r="S30" s="77"/>
      <c r="T30" s="91"/>
      <c r="U30" s="92"/>
      <c r="V30" s="76"/>
      <c r="W30" s="76"/>
    </row>
    <row r="31" spans="1:23" hidden="1">
      <c r="A31" s="75"/>
      <c r="B31" s="1" t="s">
        <v>45</v>
      </c>
      <c r="C31" s="30" t="e">
        <f>ROUND(+H21-(H9/C12),4)</f>
        <v>#N/A</v>
      </c>
      <c r="D31" s="334"/>
      <c r="E31" s="334"/>
      <c r="F31" s="326"/>
      <c r="G31" s="335"/>
      <c r="H31" s="335"/>
      <c r="I31" s="334"/>
      <c r="J31" s="87"/>
      <c r="S31" s="29"/>
      <c r="T31" s="18"/>
      <c r="U31" s="18"/>
    </row>
    <row r="32" spans="1:23" hidden="1">
      <c r="B32" s="1" t="s">
        <v>46</v>
      </c>
      <c r="C32" s="20" t="e">
        <f>ROUND(C31/H18,3)</f>
        <v>#N/A</v>
      </c>
      <c r="D32" s="326"/>
      <c r="E32" s="326"/>
      <c r="F32" s="334"/>
      <c r="G32" s="325"/>
      <c r="H32" s="325"/>
      <c r="I32" s="326"/>
      <c r="S32" s="29"/>
      <c r="T32" s="18"/>
      <c r="U32" s="18"/>
    </row>
    <row r="33" spans="2:21" ht="15.5" hidden="1">
      <c r="C33" s="20"/>
      <c r="D33" s="325"/>
      <c r="E33" s="325"/>
      <c r="F33" s="326"/>
      <c r="G33" s="336"/>
      <c r="H33" s="336"/>
      <c r="I33" s="325"/>
      <c r="S33" s="29"/>
      <c r="T33" s="18"/>
      <c r="U33" s="18"/>
    </row>
    <row r="34" spans="2:21" hidden="1">
      <c r="B34" s="1" t="s">
        <v>48</v>
      </c>
      <c r="C34" s="85" t="e">
        <f>C36-C35</f>
        <v>#N/A</v>
      </c>
      <c r="D34" s="335"/>
      <c r="E34" s="335"/>
      <c r="F34" s="325"/>
      <c r="I34" s="335"/>
      <c r="J34" s="23"/>
      <c r="S34" s="29"/>
      <c r="T34" s="18"/>
      <c r="U34" s="89"/>
    </row>
    <row r="35" spans="2:21" hidden="1">
      <c r="B35" s="1" t="s">
        <v>21</v>
      </c>
      <c r="C35" s="85" t="e">
        <f>ROUND(C36*C23/(1+C23),2)</f>
        <v>#N/A</v>
      </c>
      <c r="D35" s="325"/>
      <c r="E35" s="325"/>
      <c r="F35" s="335"/>
      <c r="G35" s="23"/>
      <c r="H35" s="23"/>
      <c r="I35" s="325"/>
      <c r="S35" s="29"/>
      <c r="T35" s="18"/>
      <c r="U35" s="90"/>
    </row>
    <row r="36" spans="2:21" ht="15.5" hidden="1">
      <c r="B36" s="1" t="s">
        <v>49</v>
      </c>
      <c r="C36" s="85" t="e">
        <f>IF(MOD(H20*1000,50)&gt;24.99,CEILING(H20,0.05),FLOOR(H20,0.05))</f>
        <v>#N/A</v>
      </c>
      <c r="D36" s="336"/>
      <c r="E36" s="336"/>
      <c r="F36" s="325"/>
      <c r="G36" s="30"/>
      <c r="H36" s="30"/>
      <c r="I36" s="336"/>
      <c r="S36" s="29"/>
      <c r="T36" s="18"/>
      <c r="U36" s="90"/>
    </row>
    <row r="37" spans="2:21" ht="15.5" hidden="1">
      <c r="F37" s="336"/>
      <c r="G37" s="20"/>
      <c r="H37" s="20"/>
    </row>
    <row r="38" spans="2:21" hidden="1">
      <c r="B38" s="9" t="s">
        <v>47</v>
      </c>
      <c r="C38" s="88" t="e">
        <f>ROUND(((C34-H17-H15-H16)*C12)/H9-1,4)</f>
        <v>#N/A</v>
      </c>
      <c r="D38" s="23"/>
      <c r="E38" s="23"/>
      <c r="G38" s="20"/>
      <c r="H38" s="20"/>
      <c r="I38" s="23"/>
    </row>
    <row r="39" spans="2:21">
      <c r="D39" s="30"/>
      <c r="E39" s="30"/>
      <c r="F39" s="23"/>
      <c r="G39" s="85"/>
      <c r="H39" s="85"/>
      <c r="I39" s="30"/>
    </row>
    <row r="40" spans="2:21">
      <c r="D40" s="20"/>
      <c r="E40" s="20"/>
      <c r="F40" s="30"/>
      <c r="G40" s="85"/>
      <c r="H40" s="85"/>
      <c r="I40" s="20"/>
    </row>
    <row r="41" spans="2:21">
      <c r="D41" s="20"/>
      <c r="E41" s="20"/>
      <c r="F41" s="20"/>
      <c r="G41" s="85"/>
      <c r="H41" s="85"/>
      <c r="I41" s="20"/>
    </row>
    <row r="42" spans="2:21">
      <c r="D42" s="85"/>
      <c r="E42" s="85"/>
      <c r="F42" s="20"/>
      <c r="I42" s="85"/>
    </row>
    <row r="43" spans="2:21">
      <c r="D43" s="85"/>
      <c r="E43" s="85"/>
      <c r="F43" s="85"/>
      <c r="G43" s="88"/>
      <c r="H43" s="88"/>
      <c r="I43" s="85"/>
    </row>
    <row r="44" spans="2:21">
      <c r="D44" s="85"/>
      <c r="E44" s="85"/>
      <c r="F44" s="85"/>
      <c r="I44" s="85"/>
    </row>
    <row r="45" spans="2:21">
      <c r="F45" s="85"/>
    </row>
    <row r="46" spans="2:21">
      <c r="D46" s="88"/>
      <c r="E46" s="88"/>
      <c r="I46" s="88"/>
    </row>
    <row r="47" spans="2:21">
      <c r="F47" s="88"/>
    </row>
  </sheetData>
  <sheetProtection formatColumns="0" autoFilter="0" pivotTables="0"/>
  <protectedRanges>
    <protectedRange sqref="C18 B4:B5 C7:C14" name="Range1_1"/>
    <protectedRange password="CCE3" sqref="D19" name="Range3"/>
    <protectedRange password="CCE3" sqref="B24" name="Range3_2"/>
  </protectedRanges>
  <mergeCells count="3">
    <mergeCell ref="D14:E14"/>
    <mergeCell ref="D19:E19"/>
    <mergeCell ref="J19:K24"/>
  </mergeCells>
  <conditionalFormatting sqref="E15">
    <cfRule type="cellIs" dxfId="5" priority="4" operator="lessThan">
      <formula>0</formula>
    </cfRule>
    <cfRule type="cellIs" dxfId="4" priority="5" operator="greaterThan">
      <formula>0</formula>
    </cfRule>
    <cfRule type="cellIs" dxfId="3" priority="6" operator="greaterThan">
      <formula>0</formula>
    </cfRule>
  </conditionalFormatting>
  <conditionalFormatting sqref="E20">
    <cfRule type="cellIs" dxfId="2" priority="1" operator="lessThan">
      <formula>0</formula>
    </cfRule>
    <cfRule type="cellIs" dxfId="1" priority="2" operator="greaterThan">
      <formula>0</formula>
    </cfRule>
    <cfRule type="cellIs" dxfId="0" priority="3" operator="greaterThan">
      <formula>0</formula>
    </cfRule>
  </conditionalFormatting>
  <hyperlinks>
    <hyperlink ref="G28" r:id="rId1" display="https://www.doingbusinesswithlcbo.com/content/dbwl/en/basepage/home/new-supplier-agent/Pricing/HelpfulToolsandLinks.html" xr:uid="{9E943AF7-767A-4D8D-9AB8-2843E91642DC}"/>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6">
        <x14:dataValidation type="list" showInputMessage="1" showErrorMessage="1" prompt="Pick from drop-down list_x000a_" xr:uid="{4B9E08B1-A3BE-473F-800A-36E5ECBDBD20}">
          <x14:formula1>
            <xm:f>Rates!$B$142:$B$147</xm:f>
          </x14:formula1>
          <xm:sqref>G6</xm:sqref>
        </x14:dataValidation>
        <x14:dataValidation type="list" allowBlank="1" showInputMessage="1" showErrorMessage="1" xr:uid="{BBFC67CC-7B56-40AA-8055-9BCA4BF53D98}">
          <x14:formula1>
            <xm:f>Rates!$A$66:$A$71</xm:f>
          </x14:formula1>
          <xm:sqref>G4:H4</xm:sqref>
        </x14:dataValidation>
        <x14:dataValidation type="list" showInputMessage="1" showErrorMessage="1" prompt="Pick from drop-down list_x000a_" xr:uid="{0EECE525-CFF9-427F-9903-5012CE694DE0}">
          <x14:formula1>
            <xm:f>Rates!$A$94:$A$95</xm:f>
          </x14:formula1>
          <xm:sqref>G5</xm:sqref>
        </x14:dataValidation>
        <x14:dataValidation type="list" allowBlank="1" showInputMessage="1" showErrorMessage="1" xr:uid="{67C419C8-7320-4515-B3C0-C7753BAC9E57}">
          <x14:formula1>
            <xm:f>Rates!$A$70:$A$71</xm:f>
          </x14:formula1>
          <xm:sqref>C4</xm:sqref>
        </x14:dataValidation>
        <x14:dataValidation type="list" showInputMessage="1" showErrorMessage="1" prompt="Pick from drop-down list_x000a_" xr:uid="{E42B8733-2E4D-4B35-8615-287BEF8E3E75}">
          <x14:formula1>
            <xm:f>Rates!$F$94:$F$95</xm:f>
          </x14:formula1>
          <xm:sqref>C5</xm:sqref>
        </x14:dataValidation>
        <x14:dataValidation type="list" showInputMessage="1" showErrorMessage="1" prompt="Pick from drop-down list_x000a_" xr:uid="{7920241F-99AA-4F25-9E53-64E651BAD487}">
          <x14:formula1>
            <xm:f>Rates!$G$94:$G$96</xm:f>
          </x14:formula1>
          <xm:sqref>C6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B4FE-0787-45A6-A3E8-98B39C41A40E}">
  <sheetPr codeName="Sheet17"/>
  <dimension ref="A1:B14"/>
  <sheetViews>
    <sheetView workbookViewId="0"/>
  </sheetViews>
  <sheetFormatPr defaultColWidth="8.84375" defaultRowHeight="15.5"/>
  <cols>
    <col min="1" max="1" width="76" style="430" bestFit="1" customWidth="1"/>
    <col min="2" max="2" width="84.07421875" style="430" customWidth="1"/>
    <col min="3" max="16384" width="8.84375" style="430"/>
  </cols>
  <sheetData>
    <row r="1" spans="1:2">
      <c r="A1" s="435" t="s">
        <v>198</v>
      </c>
      <c r="B1" s="435"/>
    </row>
    <row r="2" spans="1:2">
      <c r="A2" s="431" t="s">
        <v>199</v>
      </c>
      <c r="B2" s="506" t="s">
        <v>200</v>
      </c>
    </row>
    <row r="3" spans="1:2">
      <c r="A3" s="431" t="s">
        <v>201</v>
      </c>
      <c r="B3" s="506" t="s">
        <v>202</v>
      </c>
    </row>
    <row r="4" spans="1:2">
      <c r="A4" s="431" t="s">
        <v>470</v>
      </c>
      <c r="B4" s="506" t="s">
        <v>203</v>
      </c>
    </row>
    <row r="5" spans="1:2">
      <c r="A5" s="431" t="s">
        <v>204</v>
      </c>
      <c r="B5" s="507" t="s">
        <v>205</v>
      </c>
    </row>
    <row r="6" spans="1:2">
      <c r="A6" s="431" t="s">
        <v>206</v>
      </c>
      <c r="B6" s="507" t="s">
        <v>207</v>
      </c>
    </row>
    <row r="7" spans="1:2">
      <c r="A7" s="432" t="s">
        <v>472</v>
      </c>
      <c r="B7" s="512" t="s">
        <v>473</v>
      </c>
    </row>
    <row r="8" spans="1:2">
      <c r="A8" s="433" t="s">
        <v>208</v>
      </c>
      <c r="B8" s="508" t="s">
        <v>209</v>
      </c>
    </row>
    <row r="9" spans="1:2">
      <c r="A9" s="433" t="s">
        <v>471</v>
      </c>
      <c r="B9" s="509" t="s">
        <v>471</v>
      </c>
    </row>
    <row r="10" spans="1:2">
      <c r="A10" s="434" t="s">
        <v>282</v>
      </c>
      <c r="B10" s="510" t="s">
        <v>8</v>
      </c>
    </row>
    <row r="11" spans="1:2">
      <c r="A11" s="433" t="s">
        <v>210</v>
      </c>
      <c r="B11" s="434"/>
    </row>
    <row r="12" spans="1:2">
      <c r="A12" s="433" t="s">
        <v>304</v>
      </c>
      <c r="B12" s="511" t="s">
        <v>303</v>
      </c>
    </row>
    <row r="13" spans="1:2">
      <c r="A13" s="433" t="s">
        <v>326</v>
      </c>
      <c r="B13" s="511" t="s">
        <v>325</v>
      </c>
    </row>
    <row r="14" spans="1:2">
      <c r="A14" s="433" t="s">
        <v>327</v>
      </c>
      <c r="B14" s="511" t="s">
        <v>328</v>
      </c>
    </row>
  </sheetData>
  <hyperlinks>
    <hyperlink ref="B3" r:id="rId1" xr:uid="{40BEF9F6-5C3B-46A6-9A33-F29AA5C4D0BF}"/>
    <hyperlink ref="B4" r:id="rId2" xr:uid="{C2BF9DF9-CFCD-472B-9547-B1489A1EA32A}"/>
    <hyperlink ref="B8" r:id="rId3" xr:uid="{486D3BA3-3E04-4014-8688-DBCD4D252F6A}"/>
    <hyperlink ref="B5" r:id="rId4" xr:uid="{4DF90585-8306-429F-9944-2E3F57FCBDD1}"/>
    <hyperlink ref="B2" r:id="rId5" xr:uid="{C9D019F9-24BE-4B3D-99D0-2A369439FE2A}"/>
    <hyperlink ref="B7" r:id="rId6" xr:uid="{593D0E82-5D88-4A8E-943F-E8A151C94952}"/>
    <hyperlink ref="B6" r:id="rId7" xr:uid="{8B058A0E-28A0-454E-A967-A0EF362A518A}"/>
    <hyperlink ref="B10" r:id="rId8" display="https://www.doingbusinesswithlcbo.com/content/dbwl/en/basepage/home/new-supplier-agent/Pricing/HelpfulToolsandLinks.html" xr:uid="{6DD88841-D63A-4F48-B774-6380455CC2C0}"/>
    <hyperlink ref="B12" r:id="rId9" display="https://www.doingbusinesswithlcbo.com/content/dbwl/en/basepage/home/updates/ExciseCOSDEffectiveApril12021.html" xr:uid="{4A5CC648-7858-4252-9395-4BC9ACEAA3B7}"/>
    <hyperlink ref="B13" r:id="rId10" xr:uid="{C260BC3F-3DC8-47CC-87B5-872EEC25DCD3}"/>
    <hyperlink ref="B9" r:id="rId11" xr:uid="{7C05E7F2-3D80-4F3F-82EA-BA564C8C48DF}"/>
  </hyperlinks>
  <pageMargins left="0.7" right="0.7" top="0.75" bottom="0.75" header="0.3" footer="0.3"/>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7030A0"/>
  </sheetPr>
  <dimension ref="B1:Z47"/>
  <sheetViews>
    <sheetView showGridLines="0" tabSelected="1" zoomScaleNormal="100" workbookViewId="0">
      <selection activeCell="B1" sqref="B1"/>
    </sheetView>
  </sheetViews>
  <sheetFormatPr defaultColWidth="9.84375" defaultRowHeight="14.5"/>
  <cols>
    <col min="1" max="1" width="2.765625" style="1" customWidth="1"/>
    <col min="2" max="2" width="23.23046875" style="1" bestFit="1" customWidth="1"/>
    <col min="3" max="3" width="20.69140625" style="6" customWidth="1"/>
    <col min="4" max="4" width="10.23046875" style="6" customWidth="1"/>
    <col min="5" max="5" width="11.07421875" style="1" customWidth="1"/>
    <col min="6" max="6" width="1.765625" style="1" customWidth="1"/>
    <col min="7" max="7" width="22.07421875" style="1" bestFit="1" customWidth="1"/>
    <col min="8" max="8" width="22.3046875" style="1" customWidth="1"/>
    <col min="9" max="9" width="5.765625" style="1" customWidth="1"/>
    <col min="10" max="10" width="21.53515625" style="1" customWidth="1"/>
    <col min="11" max="11" width="10.765625" style="1" customWidth="1"/>
    <col min="12" max="15" width="8.07421875" style="1" customWidth="1"/>
    <col min="16" max="16" width="17.53515625" style="5" customWidth="1"/>
    <col min="17" max="17" width="20.69140625" style="1" customWidth="1"/>
    <col min="18" max="18" width="9.3046875" style="1" customWidth="1"/>
    <col min="19" max="19" width="12.84375" style="1" customWidth="1"/>
    <col min="20" max="20" width="6.69140625" style="1" bestFit="1" customWidth="1"/>
    <col min="21" max="21" width="12.84375" style="1" bestFit="1" customWidth="1"/>
    <col min="22" max="22" width="11.3046875" style="1" bestFit="1" customWidth="1"/>
    <col min="23" max="23" width="15.4609375" style="1" bestFit="1" customWidth="1"/>
    <col min="24" max="24" width="9.84375" style="1" customWidth="1"/>
    <col min="25" max="25" width="10.84375" style="1" customWidth="1"/>
    <col min="26" max="26" width="73.69140625" style="6" bestFit="1" customWidth="1"/>
    <col min="27" max="27" width="12.84375" style="1" customWidth="1"/>
    <col min="28" max="16384" width="9.84375" style="1"/>
  </cols>
  <sheetData>
    <row r="1" spans="2:26" ht="18.5">
      <c r="B1" s="174" t="s">
        <v>507</v>
      </c>
      <c r="C1" s="3"/>
      <c r="D1" s="3"/>
    </row>
    <row r="2" spans="2:26">
      <c r="B2" s="21"/>
      <c r="Z2" s="1"/>
    </row>
    <row r="3" spans="2:26" ht="15" thickBot="1">
      <c r="B3" s="59" t="s">
        <v>0</v>
      </c>
      <c r="Q3" s="2"/>
      <c r="Z3" s="1"/>
    </row>
    <row r="4" spans="2:26" ht="16" thickBot="1">
      <c r="B4" s="219" t="s">
        <v>1</v>
      </c>
      <c r="C4" s="384"/>
      <c r="D4" s="315"/>
      <c r="G4" s="65" t="s">
        <v>27</v>
      </c>
      <c r="H4" s="99"/>
      <c r="J4" s="291" t="s">
        <v>300</v>
      </c>
      <c r="K4" s="25"/>
      <c r="L4" s="292"/>
      <c r="M4" s="25"/>
      <c r="N4" s="25"/>
      <c r="O4" s="25"/>
      <c r="P4" s="115"/>
      <c r="Z4" s="1"/>
    </row>
    <row r="5" spans="2:26" ht="15" thickBot="1">
      <c r="B5" s="220" t="s">
        <v>5</v>
      </c>
      <c r="C5" s="385"/>
      <c r="D5" s="315"/>
      <c r="G5" s="40" t="s">
        <v>28</v>
      </c>
      <c r="H5" s="41">
        <f>ROUND((C7*C8),4)</f>
        <v>0</v>
      </c>
      <c r="J5" s="299"/>
      <c r="K5" s="300"/>
      <c r="L5" s="300"/>
      <c r="M5" s="300"/>
      <c r="N5" s="300"/>
      <c r="O5" s="300"/>
      <c r="P5" s="301"/>
      <c r="Z5" s="1"/>
    </row>
    <row r="6" spans="2:26" ht="15" thickBot="1">
      <c r="B6" s="220" t="s">
        <v>9</v>
      </c>
      <c r="C6" s="385"/>
      <c r="D6" s="315"/>
      <c r="G6" s="27" t="s">
        <v>29</v>
      </c>
      <c r="H6" s="42" t="e">
        <f>IF(C17=Rates!B107, ROUND(C25*C17,4),ROUND((C10*C11)*C17,4))</f>
        <v>#VALUE!</v>
      </c>
      <c r="J6" s="293"/>
      <c r="K6" s="294"/>
      <c r="L6" s="294"/>
      <c r="M6" s="294"/>
      <c r="N6" s="294"/>
      <c r="O6" s="294"/>
      <c r="P6" s="295"/>
      <c r="Z6" s="1"/>
    </row>
    <row r="7" spans="2:26" ht="15" thickBot="1">
      <c r="B7" s="221" t="s">
        <v>467</v>
      </c>
      <c r="C7" s="386"/>
      <c r="D7" s="315"/>
      <c r="G7" s="43" t="s">
        <v>30</v>
      </c>
      <c r="H7" s="288">
        <f>ROUND((C10*C11)*C16,4)</f>
        <v>0</v>
      </c>
      <c r="J7" s="293"/>
      <c r="K7" s="294"/>
      <c r="L7" s="294"/>
      <c r="M7" s="294"/>
      <c r="N7" s="294"/>
      <c r="O7" s="294"/>
      <c r="P7" s="295"/>
      <c r="Z7" s="1"/>
    </row>
    <row r="8" spans="2:26" ht="15.75" customHeight="1" thickBot="1">
      <c r="B8" s="220" t="s">
        <v>14</v>
      </c>
      <c r="C8" s="387"/>
      <c r="D8" s="315"/>
      <c r="G8" s="43" t="s">
        <v>16</v>
      </c>
      <c r="H8" s="44">
        <f>C9</f>
        <v>0</v>
      </c>
      <c r="J8" s="293"/>
      <c r="K8" s="294"/>
      <c r="L8" s="294"/>
      <c r="M8" s="294"/>
      <c r="N8" s="294"/>
      <c r="O8" s="294"/>
      <c r="P8" s="295"/>
      <c r="Z8" s="1"/>
    </row>
    <row r="9" spans="2:26" ht="15.75" customHeight="1" thickBot="1">
      <c r="B9" s="222" t="s">
        <v>16</v>
      </c>
      <c r="C9" s="386"/>
      <c r="D9" s="314"/>
      <c r="G9" s="43" t="s">
        <v>31</v>
      </c>
      <c r="H9" s="45" t="e">
        <f>ROUND((+H5+H6+H7+H8),4)</f>
        <v>#VALUE!</v>
      </c>
      <c r="J9" s="293"/>
      <c r="K9" s="294"/>
      <c r="L9" s="294"/>
      <c r="M9" s="294"/>
      <c r="N9" s="294"/>
      <c r="O9" s="294"/>
      <c r="P9" s="295"/>
      <c r="Z9" s="1"/>
    </row>
    <row r="10" spans="2:26" ht="15.75" customHeight="1" thickBot="1">
      <c r="B10" s="221" t="s">
        <v>18</v>
      </c>
      <c r="C10" s="388"/>
      <c r="D10" s="316"/>
      <c r="G10" s="43" t="s">
        <v>32</v>
      </c>
      <c r="H10" s="42" t="e">
        <f>ROUND((+H9*C21),4)</f>
        <v>#VALUE!</v>
      </c>
      <c r="J10" s="293"/>
      <c r="K10" s="294"/>
      <c r="L10" s="294"/>
      <c r="M10" s="294"/>
      <c r="N10" s="294"/>
      <c r="O10" s="294"/>
      <c r="P10" s="295"/>
      <c r="Z10" s="1"/>
    </row>
    <row r="11" spans="2:26" ht="15.75" customHeight="1" thickBot="1">
      <c r="B11" s="220" t="s">
        <v>20</v>
      </c>
      <c r="C11" s="389"/>
      <c r="D11" s="317"/>
      <c r="G11" s="43" t="s">
        <v>33</v>
      </c>
      <c r="H11" s="44">
        <f>(+C11*C10)*C19</f>
        <v>0</v>
      </c>
      <c r="J11" s="293"/>
      <c r="K11" s="294"/>
      <c r="L11" s="294"/>
      <c r="M11" s="294"/>
      <c r="N11" s="294"/>
      <c r="O11" s="294"/>
      <c r="P11" s="295"/>
      <c r="Z11" s="1"/>
    </row>
    <row r="12" spans="2:26" ht="15.75" customHeight="1" thickBot="1">
      <c r="B12" s="220" t="s">
        <v>22</v>
      </c>
      <c r="C12" s="390"/>
      <c r="D12" s="318"/>
      <c r="G12" s="43" t="s">
        <v>34</v>
      </c>
      <c r="H12" s="45" t="e">
        <f>SUM(H9:H11)</f>
        <v>#VALUE!</v>
      </c>
      <c r="J12" s="293"/>
      <c r="K12" s="294"/>
      <c r="L12" s="294"/>
      <c r="M12" s="294"/>
      <c r="N12" s="294"/>
      <c r="O12" s="294"/>
      <c r="P12" s="295"/>
      <c r="Z12" s="1"/>
    </row>
    <row r="13" spans="2:26" ht="16.5" customHeight="1" thickBot="1">
      <c r="B13" s="223" t="s">
        <v>24</v>
      </c>
      <c r="C13" s="391"/>
      <c r="D13" s="524" t="s">
        <v>306</v>
      </c>
      <c r="E13" s="525"/>
      <c r="G13" s="27"/>
      <c r="H13" s="42"/>
      <c r="J13" s="293"/>
      <c r="K13" s="294"/>
      <c r="L13" s="294"/>
      <c r="M13" s="294"/>
      <c r="N13" s="294"/>
      <c r="O13" s="294"/>
      <c r="P13" s="295"/>
      <c r="R13" s="30"/>
      <c r="Z13" s="1"/>
    </row>
    <row r="14" spans="2:26" ht="16" thickBot="1">
      <c r="B14" s="323" t="s">
        <v>26</v>
      </c>
      <c r="C14" s="324" t="e">
        <f>H25</f>
        <v>#VALUE!</v>
      </c>
      <c r="D14" s="440" t="e">
        <f>H20+H24</f>
        <v>#VALUE!</v>
      </c>
      <c r="E14" s="321" t="e">
        <f>C14-D14</f>
        <v>#VALUE!</v>
      </c>
      <c r="G14" s="43" t="s">
        <v>35</v>
      </c>
      <c r="H14" s="45" t="e">
        <f>ROUND((+H12/C11),4)</f>
        <v>#VALUE!</v>
      </c>
      <c r="J14" s="293"/>
      <c r="K14" s="294"/>
      <c r="L14" s="294"/>
      <c r="M14" s="294"/>
      <c r="N14" s="294"/>
      <c r="O14" s="294"/>
      <c r="P14" s="295"/>
      <c r="Z14" s="1"/>
    </row>
    <row r="15" spans="2:26" ht="16.5" customHeight="1" thickBot="1">
      <c r="C15" s="25"/>
      <c r="D15" s="290"/>
      <c r="G15" s="43" t="s">
        <v>36</v>
      </c>
      <c r="H15" s="42">
        <f>C20*C10</f>
        <v>0</v>
      </c>
      <c r="J15" s="293"/>
      <c r="K15" s="294"/>
      <c r="L15" s="294"/>
      <c r="M15" s="294"/>
      <c r="N15" s="294"/>
      <c r="O15" s="294"/>
      <c r="P15" s="295"/>
      <c r="Z15" s="1"/>
    </row>
    <row r="16" spans="2:26">
      <c r="B16" s="52" t="s">
        <v>3</v>
      </c>
      <c r="C16" s="437">
        <f>IF(C6="Domestic",0,IF(C13&gt;=7.1,Rates!C23,IF(C13&lt;1.2,Rates!C20,Rates!C22)))</f>
        <v>0</v>
      </c>
      <c r="D16" s="311"/>
      <c r="G16" s="43" t="s">
        <v>37</v>
      </c>
      <c r="H16" s="42">
        <f>ROUND(C10*C18,4)</f>
        <v>0</v>
      </c>
      <c r="J16" s="293"/>
      <c r="K16" s="294"/>
      <c r="L16" s="294"/>
      <c r="M16" s="294"/>
      <c r="N16" s="294"/>
      <c r="O16" s="294"/>
      <c r="P16" s="295"/>
      <c r="Z16" s="1"/>
    </row>
    <row r="17" spans="2:26" ht="15.75" customHeight="1" thickBot="1">
      <c r="B17" s="53" t="s">
        <v>7</v>
      </c>
      <c r="C17" s="365" t="e">
        <f>VLOOKUP((C4&amp;C5&amp;C6),Rates!I:J,2,FALSE)</f>
        <v>#VALUE!</v>
      </c>
      <c r="D17" s="311"/>
      <c r="G17" s="43" t="s">
        <v>19</v>
      </c>
      <c r="H17" s="46">
        <f>C12*C22</f>
        <v>0</v>
      </c>
      <c r="J17" s="296"/>
      <c r="K17" s="297"/>
      <c r="L17" s="297"/>
      <c r="M17" s="297"/>
      <c r="N17" s="297"/>
      <c r="O17" s="297"/>
      <c r="P17" s="298"/>
      <c r="Z17" s="1"/>
    </row>
    <row r="18" spans="2:26" ht="15.75" customHeight="1">
      <c r="B18" s="43" t="s">
        <v>11</v>
      </c>
      <c r="C18" s="365">
        <f>(VLOOKUP(C6,Rates!B135:D140,3,TRUE))</f>
        <v>0.67530000000000001</v>
      </c>
      <c r="D18" s="311"/>
      <c r="G18" s="43" t="s">
        <v>38</v>
      </c>
      <c r="H18" s="45" t="e">
        <f>H14+H15+H16+H17</f>
        <v>#VALUE!</v>
      </c>
      <c r="Z18" s="1"/>
    </row>
    <row r="19" spans="2:26" ht="15.75" customHeight="1">
      <c r="B19" s="43" t="s">
        <v>13</v>
      </c>
      <c r="C19" s="365">
        <f>VLOOKUP(C4,Rates!A44:B50,2,FALSE)</f>
        <v>0</v>
      </c>
      <c r="D19" s="311"/>
      <c r="G19" s="43" t="s">
        <v>21</v>
      </c>
      <c r="H19" s="44" t="e">
        <f>ROUND(+H18*C23,4)</f>
        <v>#VALUE!</v>
      </c>
      <c r="J19" s="491"/>
      <c r="K19" s="492"/>
      <c r="L19" s="493"/>
      <c r="Z19" s="1"/>
    </row>
    <row r="20" spans="2:26">
      <c r="B20" s="43" t="s">
        <v>15</v>
      </c>
      <c r="C20" s="365">
        <f>Rates!B53</f>
        <v>0.28999999999999998</v>
      </c>
      <c r="D20" s="524" t="s">
        <v>301</v>
      </c>
      <c r="E20" s="525"/>
      <c r="G20" s="43" t="s">
        <v>39</v>
      </c>
      <c r="H20" s="45" t="e">
        <f>SUM(H18:H19)</f>
        <v>#VALUE!</v>
      </c>
      <c r="J20" s="494"/>
      <c r="K20" s="495"/>
      <c r="L20" s="493"/>
      <c r="Z20" s="1"/>
    </row>
    <row r="21" spans="2:26">
      <c r="B21" s="54" t="s">
        <v>17</v>
      </c>
      <c r="C21" s="319">
        <f>VLOOKUP(C4,Rates!A58:B65,2,TRUE)</f>
        <v>1.3969999999999998</v>
      </c>
      <c r="D21" s="322" t="e">
        <f>C35</f>
        <v>#VALUE!</v>
      </c>
      <c r="E21" s="321" t="e">
        <f>D21-C21</f>
        <v>#VALUE!</v>
      </c>
      <c r="F21" s="320"/>
      <c r="G21" s="303" t="s">
        <v>305</v>
      </c>
      <c r="H21" s="304" t="e">
        <f>H23-H22</f>
        <v>#VALUE!</v>
      </c>
      <c r="J21" s="496"/>
      <c r="K21" s="497"/>
      <c r="L21" s="493"/>
      <c r="Z21" s="1"/>
    </row>
    <row r="22" spans="2:26">
      <c r="B22" s="55" t="s">
        <v>19</v>
      </c>
      <c r="C22" s="367">
        <f>Rates!B77</f>
        <v>8.9300000000000004E-2</v>
      </c>
      <c r="D22" s="312"/>
      <c r="G22" s="303" t="s">
        <v>21</v>
      </c>
      <c r="H22" s="305" t="e">
        <f>ROUND(H23*C23/(1+C23),2)</f>
        <v>#VALUE!</v>
      </c>
      <c r="J22" s="496"/>
      <c r="K22" s="497"/>
      <c r="L22" s="493"/>
    </row>
    <row r="23" spans="2:26">
      <c r="B23" s="43" t="s">
        <v>21</v>
      </c>
      <c r="C23" s="319">
        <f>Rates!B79</f>
        <v>0.13</v>
      </c>
      <c r="D23" s="311"/>
      <c r="G23" s="303" t="s">
        <v>49</v>
      </c>
      <c r="H23" s="306" t="e">
        <f>IF(C35&lt;C21,C39+0.05,C39)</f>
        <v>#VALUE!</v>
      </c>
      <c r="J23" s="498"/>
      <c r="K23" s="497"/>
      <c r="L23" s="493"/>
    </row>
    <row r="24" spans="2:26" ht="15" thickBot="1">
      <c r="B24" s="43" t="s">
        <v>23</v>
      </c>
      <c r="C24" s="366" t="e">
        <f>IF(C10/C12&gt;0.63,0.2,IF(C10/C12&gt;0.1,0.1,0))</f>
        <v>#DIV/0!</v>
      </c>
      <c r="D24" s="311"/>
      <c r="G24" s="307" t="s">
        <v>42</v>
      </c>
      <c r="H24" s="308" t="e">
        <f>C12*C24</f>
        <v>#DIV/0!</v>
      </c>
      <c r="J24" s="493"/>
      <c r="K24" s="497"/>
      <c r="L24" s="493"/>
    </row>
    <row r="25" spans="2:26" ht="16" thickBot="1">
      <c r="B25" s="56" t="s">
        <v>25</v>
      </c>
      <c r="C25" s="368">
        <f>+ROUND(((C10*C11)*C13),4)</f>
        <v>0</v>
      </c>
      <c r="D25" s="311"/>
      <c r="G25" s="309" t="s">
        <v>43</v>
      </c>
      <c r="H25" s="310" t="e">
        <f>SUM(H23+H24)</f>
        <v>#VALUE!</v>
      </c>
      <c r="J25" s="499"/>
      <c r="K25" s="500"/>
      <c r="L25" s="493"/>
    </row>
    <row r="26" spans="2:26">
      <c r="J26" s="493"/>
      <c r="K26" s="493"/>
      <c r="L26" s="493"/>
    </row>
    <row r="27" spans="2:26" ht="15.5">
      <c r="D27" s="302"/>
      <c r="G27" s="1" t="s">
        <v>4</v>
      </c>
      <c r="H27" s="6"/>
      <c r="J27" s="491"/>
      <c r="K27" s="492"/>
      <c r="L27" s="493"/>
    </row>
    <row r="28" spans="2:26">
      <c r="B28" s="454"/>
      <c r="G28" s="228" t="s">
        <v>8</v>
      </c>
      <c r="H28" s="6"/>
      <c r="J28" s="494"/>
      <c r="K28" s="495"/>
      <c r="L28" s="493"/>
    </row>
    <row r="29" spans="2:26">
      <c r="J29" s="496"/>
      <c r="K29" s="497"/>
      <c r="L29" s="493"/>
    </row>
    <row r="30" spans="2:26">
      <c r="J30" s="496"/>
      <c r="K30" s="497"/>
      <c r="L30" s="493"/>
    </row>
    <row r="31" spans="2:26" hidden="1">
      <c r="B31" s="1" t="s">
        <v>44</v>
      </c>
      <c r="C31" s="96" t="e">
        <f>ROUND(((+(H21-H15-H17)*C11-H11)/H9-1),4)</f>
        <v>#VALUE!</v>
      </c>
      <c r="D31" s="96"/>
      <c r="J31" s="498"/>
      <c r="K31" s="497"/>
      <c r="L31" s="493"/>
      <c r="Q31" s="2"/>
    </row>
    <row r="32" spans="2:26" hidden="1">
      <c r="B32" s="1" t="s">
        <v>45</v>
      </c>
      <c r="C32" s="19" t="e">
        <f>ROUND(+H21-(H9/C11),2)</f>
        <v>#VALUE!</v>
      </c>
      <c r="D32" s="19"/>
      <c r="J32" s="493"/>
      <c r="K32" s="497"/>
      <c r="L32" s="493"/>
    </row>
    <row r="33" spans="2:26" hidden="1">
      <c r="B33" s="1" t="s">
        <v>46</v>
      </c>
      <c r="C33" s="20" t="e">
        <f>ROUND(+C32/H18,3)</f>
        <v>#VALUE!</v>
      </c>
      <c r="D33" s="20"/>
      <c r="J33" s="499"/>
      <c r="K33" s="500"/>
      <c r="L33" s="493"/>
    </row>
    <row r="34" spans="2:26" hidden="1">
      <c r="J34" s="493"/>
      <c r="K34" s="493"/>
      <c r="L34" s="493"/>
      <c r="P34" s="6"/>
    </row>
    <row r="35" spans="2:26" hidden="1">
      <c r="B35" s="9" t="s">
        <v>47</v>
      </c>
      <c r="C35" s="97" t="e">
        <f>ROUND((((C37-H17-H15-H16)*C11-H11)/H9-1),4)</f>
        <v>#VALUE!</v>
      </c>
      <c r="D35" s="97"/>
      <c r="J35" s="493"/>
      <c r="K35" s="493"/>
      <c r="L35" s="493"/>
      <c r="P35" s="6"/>
    </row>
    <row r="36" spans="2:26" hidden="1">
      <c r="B36" s="98"/>
      <c r="J36" s="493"/>
      <c r="K36" s="493"/>
      <c r="L36" s="493"/>
      <c r="P36" s="1"/>
    </row>
    <row r="37" spans="2:26" hidden="1">
      <c r="B37" s="1" t="s">
        <v>48</v>
      </c>
      <c r="C37" s="286" t="e">
        <f>C39-C38</f>
        <v>#VALUE!</v>
      </c>
      <c r="D37" s="286"/>
      <c r="J37" s="493"/>
      <c r="K37" s="493"/>
      <c r="L37" s="493"/>
      <c r="Q37" s="18"/>
    </row>
    <row r="38" spans="2:26" hidden="1">
      <c r="B38" s="1" t="s">
        <v>21</v>
      </c>
      <c r="C38" s="287" t="e">
        <f>ROUND(C39*C23/(1+C23),2)</f>
        <v>#VALUE!</v>
      </c>
      <c r="D38" s="313"/>
      <c r="J38" s="493"/>
      <c r="K38" s="493"/>
      <c r="L38" s="493"/>
    </row>
    <row r="39" spans="2:26" hidden="1">
      <c r="B39" s="1" t="s">
        <v>49</v>
      </c>
      <c r="C39" s="286" t="e">
        <f>IF(MOD(H20*1000,50)&gt;24.99,CEILING(H20,0.05),FLOOR(H20,0.05))</f>
        <v>#VALUE!</v>
      </c>
      <c r="D39" s="286"/>
      <c r="J39" s="493"/>
      <c r="K39" s="493"/>
      <c r="L39" s="493"/>
    </row>
    <row r="40" spans="2:26" hidden="1">
      <c r="B40" s="5"/>
      <c r="J40" s="493"/>
      <c r="K40" s="493"/>
      <c r="L40" s="493"/>
      <c r="X40" s="6"/>
      <c r="Z40" s="1"/>
    </row>
    <row r="41" spans="2:26" hidden="1">
      <c r="B41" s="17"/>
      <c r="C41" s="97"/>
      <c r="D41" s="97"/>
      <c r="J41" s="493"/>
      <c r="K41" s="493"/>
      <c r="L41" s="493"/>
      <c r="X41" s="6"/>
      <c r="Z41" s="1"/>
    </row>
    <row r="42" spans="2:26" hidden="1">
      <c r="B42" s="9" t="s">
        <v>47</v>
      </c>
      <c r="C42" s="97" t="e">
        <f>ROUND((((H18-H17-H15-H16)*C11-H11)/H9-1),4)</f>
        <v>#VALUE!</v>
      </c>
      <c r="D42" s="97"/>
      <c r="J42" s="493"/>
      <c r="K42" s="493"/>
      <c r="L42" s="493"/>
      <c r="X42" s="6"/>
      <c r="Z42" s="1"/>
    </row>
    <row r="43" spans="2:26" hidden="1">
      <c r="B43" s="8"/>
      <c r="C43" s="1"/>
      <c r="D43" s="1"/>
      <c r="J43" s="493"/>
      <c r="K43" s="493"/>
      <c r="L43" s="493"/>
      <c r="X43" s="6"/>
      <c r="Z43" s="1"/>
    </row>
    <row r="44" spans="2:26" hidden="1">
      <c r="B44" s="17"/>
      <c r="C44" s="1"/>
      <c r="D44" s="1"/>
      <c r="J44" s="493"/>
      <c r="K44" s="493"/>
      <c r="L44" s="493"/>
      <c r="X44" s="6"/>
      <c r="Z44" s="1"/>
    </row>
    <row r="45" spans="2:26">
      <c r="C45" s="1"/>
      <c r="D45" s="1"/>
      <c r="J45" s="498"/>
      <c r="K45" s="497"/>
      <c r="L45" s="493"/>
    </row>
    <row r="46" spans="2:26">
      <c r="B46" s="17"/>
      <c r="C46" s="1"/>
      <c r="D46" s="1"/>
      <c r="J46" s="493"/>
      <c r="K46" s="497"/>
      <c r="L46" s="493"/>
    </row>
    <row r="47" spans="2:26">
      <c r="J47" s="499"/>
      <c r="K47" s="500"/>
      <c r="L47" s="493"/>
    </row>
  </sheetData>
  <sheetProtection formatCells="0" formatColumns="0" pivotTables="0"/>
  <protectedRanges>
    <protectedRange password="CCE3" sqref="B18:C24 D18:D20 D22:D24" name="Range3"/>
  </protectedRanges>
  <dataConsolidate link="1"/>
  <mergeCells count="2">
    <mergeCell ref="D20:E20"/>
    <mergeCell ref="D13:E13"/>
  </mergeCells>
  <phoneticPr fontId="0" type="noConversion"/>
  <conditionalFormatting sqref="D27">
    <cfRule type="cellIs" dxfId="59" priority="6" operator="greaterThan">
      <formula>0</formula>
    </cfRule>
  </conditionalFormatting>
  <conditionalFormatting sqref="E14">
    <cfRule type="cellIs" dxfId="58" priority="1" operator="lessThan">
      <formula>0</formula>
    </cfRule>
    <cfRule type="cellIs" dxfId="57" priority="2" operator="greaterThan">
      <formula>0</formula>
    </cfRule>
    <cfRule type="cellIs" dxfId="56" priority="3" operator="greaterThan">
      <formula>0</formula>
    </cfRule>
  </conditionalFormatting>
  <conditionalFormatting sqref="E21:F21">
    <cfRule type="cellIs" dxfId="55" priority="4" operator="lessThan">
      <formula>0</formula>
    </cfRule>
    <cfRule type="cellIs" dxfId="54" priority="5" operator="greaterThan">
      <formula>0</formula>
    </cfRule>
  </conditionalFormatting>
  <hyperlinks>
    <hyperlink ref="G28" r:id="rId1" display="https://www.doingbusinesswithlcbo.com/content/dbwl/en/basepage/home/new-supplier-agent/Pricing/HelpfulToolsandLinks.html" xr:uid="{0B331672-912B-46FD-9AC1-0B1FE23E70FB}"/>
  </hyperlinks>
  <printOptions horizontalCentered="1" gridLinesSet="0"/>
  <pageMargins left="0" right="0" top="0" bottom="0" header="0.511811023622047" footer="0.511811023622047"/>
  <pageSetup scale="44" orientation="portrait" horizontalDpi="300" verticalDpi="300" r:id="rId2"/>
  <headerFooter alignWithMargins="0"/>
  <colBreaks count="1" manualBreakCount="1">
    <brk id="16" max="35" man="1"/>
  </col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prompt="Pick from drop-down list" xr:uid="{00000000-0002-0000-0000-000002000000}">
          <x14:formula1>
            <xm:f>Rates!$A$58:$A$64</xm:f>
          </x14:formula1>
          <xm:sqref>C4</xm:sqref>
        </x14:dataValidation>
        <x14:dataValidation type="list" showInputMessage="1" showErrorMessage="1" prompt="Pick from drop-down list_x000a_" xr:uid="{3F14830C-7F53-4FE5-B23A-571A66959D37}">
          <x14:formula1>
            <xm:f>Rates!$A$94:$A$95</xm:f>
          </x14:formula1>
          <xm:sqref>C5</xm:sqref>
        </x14:dataValidation>
        <x14:dataValidation type="list" showInputMessage="1" showErrorMessage="1" prompt="Pick from drop-down list_x000a_" xr:uid="{00000000-0002-0000-0000-000001000000}">
          <x14:formula1>
            <xm:f>Rates!$B$135:$B$140</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81D4-F420-46DA-8837-D5793B45278B}">
  <sheetPr codeName="Sheet3">
    <tabColor theme="7" tint="-0.249977111117893"/>
  </sheetPr>
  <dimension ref="B1:U41"/>
  <sheetViews>
    <sheetView zoomScaleNormal="100" workbookViewId="0">
      <selection activeCell="B1" sqref="B1"/>
    </sheetView>
  </sheetViews>
  <sheetFormatPr defaultColWidth="7.4609375" defaultRowHeight="14.5"/>
  <cols>
    <col min="1" max="1" width="2.765625" style="1" customWidth="1"/>
    <col min="2" max="2" width="23.3046875" style="1" customWidth="1"/>
    <col min="3" max="3" width="20.69140625" style="6" customWidth="1"/>
    <col min="4" max="4" width="9.69140625" style="6" customWidth="1"/>
    <col min="5" max="5" width="9.07421875" style="6" customWidth="1"/>
    <col min="6" max="6" width="1.765625" style="6" customWidth="1"/>
    <col min="7" max="7" width="22.23046875" style="6" customWidth="1"/>
    <col min="8" max="8" width="20.765625" style="1" customWidth="1"/>
    <col min="9" max="9" width="5.765625" style="1" customWidth="1"/>
    <col min="10" max="10" width="20.69140625" style="1" customWidth="1"/>
    <col min="11" max="11" width="10.765625" style="1" customWidth="1"/>
    <col min="12" max="12" width="8.23046875" style="1" customWidth="1"/>
    <col min="13" max="13" width="5.84375" style="1" customWidth="1"/>
    <col min="14" max="14" width="2" style="1" customWidth="1"/>
    <col min="15" max="15" width="12.84375" style="1" customWidth="1"/>
    <col min="16" max="17" width="12" style="1" customWidth="1"/>
    <col min="18" max="18" width="12.84375" style="1" bestFit="1" customWidth="1"/>
    <col min="19" max="19" width="16.765625" style="1" customWidth="1"/>
    <col min="20" max="20" width="10.4609375" style="1" customWidth="1"/>
    <col min="21" max="16384" width="7.4609375" style="1"/>
  </cols>
  <sheetData>
    <row r="1" spans="2:20" ht="18.5">
      <c r="B1" s="174" t="s">
        <v>507</v>
      </c>
      <c r="C1" s="3"/>
      <c r="D1" s="3"/>
      <c r="E1" s="3"/>
      <c r="F1" s="3"/>
      <c r="G1" s="3"/>
      <c r="S1" s="6"/>
    </row>
    <row r="2" spans="2:20">
      <c r="B2" s="21"/>
      <c r="I2" s="2"/>
      <c r="J2" s="2"/>
      <c r="K2" s="4"/>
      <c r="S2" s="6"/>
    </row>
    <row r="3" spans="2:20" ht="15" thickBot="1">
      <c r="B3" s="59" t="s">
        <v>0</v>
      </c>
      <c r="I3" s="2"/>
      <c r="J3" s="2"/>
      <c r="K3" s="39"/>
      <c r="S3" s="6"/>
    </row>
    <row r="4" spans="2:20" ht="16" thickBot="1">
      <c r="B4" s="31" t="s">
        <v>50</v>
      </c>
      <c r="C4" s="392"/>
      <c r="G4" s="65" t="s">
        <v>55</v>
      </c>
      <c r="H4" s="99"/>
      <c r="J4" s="291" t="s">
        <v>300</v>
      </c>
      <c r="K4" s="25"/>
      <c r="L4" s="292"/>
      <c r="M4" s="25"/>
      <c r="N4" s="25"/>
      <c r="O4" s="25"/>
      <c r="P4" s="115"/>
    </row>
    <row r="5" spans="2:20" ht="15" thickBot="1">
      <c r="B5" s="33" t="s">
        <v>52</v>
      </c>
      <c r="C5" s="393"/>
      <c r="G5" s="40" t="s">
        <v>56</v>
      </c>
      <c r="H5" s="103">
        <f>ROUND(C7*C8,4)</f>
        <v>0</v>
      </c>
      <c r="J5" s="299"/>
      <c r="K5" s="300"/>
      <c r="L5" s="300"/>
      <c r="M5" s="300"/>
      <c r="N5" s="300"/>
      <c r="O5" s="300"/>
      <c r="P5" s="301"/>
    </row>
    <row r="6" spans="2:20" ht="15" thickBot="1">
      <c r="B6" s="220" t="s">
        <v>9</v>
      </c>
      <c r="C6" s="393"/>
      <c r="G6" s="27" t="s">
        <v>29</v>
      </c>
      <c r="H6" s="42" t="e">
        <f>ROUND(C10*C11*C13*C17,4)</f>
        <v>#N/A</v>
      </c>
      <c r="J6" s="293"/>
      <c r="K6" s="294"/>
      <c r="L6" s="294"/>
      <c r="M6" s="294"/>
      <c r="N6" s="294"/>
      <c r="O6" s="294"/>
      <c r="P6" s="295"/>
      <c r="R6" s="26"/>
    </row>
    <row r="7" spans="2:20" ht="15" thickBot="1">
      <c r="B7" s="33" t="s">
        <v>467</v>
      </c>
      <c r="C7" s="394"/>
      <c r="G7" s="43" t="s">
        <v>281</v>
      </c>
      <c r="H7" s="288">
        <f>ROUND(C10*C11*C13*C16,4)</f>
        <v>0</v>
      </c>
      <c r="J7" s="293"/>
      <c r="K7" s="294"/>
      <c r="L7" s="294"/>
      <c r="M7" s="294"/>
      <c r="N7" s="294"/>
      <c r="O7" s="294"/>
      <c r="P7" s="295"/>
    </row>
    <row r="8" spans="2:20" ht="15" thickBot="1">
      <c r="B8" s="220" t="s">
        <v>14</v>
      </c>
      <c r="C8" s="395"/>
      <c r="G8" s="43" t="s">
        <v>16</v>
      </c>
      <c r="H8" s="42">
        <f>C9</f>
        <v>0</v>
      </c>
      <c r="J8" s="293"/>
      <c r="K8" s="294"/>
      <c r="L8" s="294"/>
      <c r="M8" s="294"/>
      <c r="N8" s="294"/>
      <c r="O8" s="294"/>
      <c r="P8" s="295"/>
      <c r="R8" s="26"/>
    </row>
    <row r="9" spans="2:20" ht="15" thickBot="1">
      <c r="B9" s="222" t="s">
        <v>16</v>
      </c>
      <c r="C9" s="394"/>
      <c r="G9" s="43" t="s">
        <v>31</v>
      </c>
      <c r="H9" s="44" t="e">
        <f>SUM(H5:H8)</f>
        <v>#N/A</v>
      </c>
      <c r="J9" s="293"/>
      <c r="K9" s="294"/>
      <c r="L9" s="294"/>
      <c r="M9" s="294"/>
      <c r="N9" s="294"/>
      <c r="O9" s="294"/>
      <c r="P9" s="295"/>
    </row>
    <row r="10" spans="2:20" ht="15" thickBot="1">
      <c r="B10" s="221" t="s">
        <v>18</v>
      </c>
      <c r="C10" s="396"/>
      <c r="G10" s="43" t="s">
        <v>57</v>
      </c>
      <c r="H10" s="45" t="e">
        <f>ROUND(H9*C19,4)</f>
        <v>#N/A</v>
      </c>
      <c r="J10" s="293"/>
      <c r="K10" s="294"/>
      <c r="L10" s="294"/>
      <c r="M10" s="294"/>
      <c r="N10" s="294"/>
      <c r="O10" s="294"/>
      <c r="P10" s="295"/>
      <c r="R10" s="26"/>
    </row>
    <row r="11" spans="2:20" ht="15" thickBot="1">
      <c r="B11" s="220" t="s">
        <v>20</v>
      </c>
      <c r="C11" s="397"/>
      <c r="G11" s="43" t="s">
        <v>58</v>
      </c>
      <c r="H11" s="42" t="e">
        <f>SUM(H9:H10)</f>
        <v>#N/A</v>
      </c>
      <c r="J11" s="293"/>
      <c r="K11" s="294"/>
      <c r="L11" s="294"/>
      <c r="M11" s="294"/>
      <c r="N11" s="294"/>
      <c r="O11" s="294"/>
      <c r="P11" s="295"/>
    </row>
    <row r="12" spans="2:20" ht="15" thickBot="1">
      <c r="B12" s="220" t="s">
        <v>22</v>
      </c>
      <c r="C12" s="397"/>
      <c r="G12" s="43"/>
      <c r="H12" s="80"/>
      <c r="J12" s="293"/>
      <c r="K12" s="294"/>
      <c r="L12" s="294"/>
      <c r="M12" s="294"/>
      <c r="N12" s="294"/>
      <c r="O12" s="294"/>
      <c r="P12" s="295"/>
      <c r="R12" s="26"/>
    </row>
    <row r="13" spans="2:20" ht="15" thickBot="1">
      <c r="B13" s="223" t="s">
        <v>24</v>
      </c>
      <c r="C13" s="398">
        <v>0.4</v>
      </c>
      <c r="D13" s="524" t="s">
        <v>306</v>
      </c>
      <c r="E13" s="525"/>
      <c r="G13" s="43" t="s">
        <v>35</v>
      </c>
      <c r="H13" s="45" t="e">
        <f>ROUND(H11/C11,4)</f>
        <v>#N/A</v>
      </c>
      <c r="J13" s="293"/>
      <c r="K13" s="294"/>
      <c r="L13" s="294"/>
      <c r="M13" s="294"/>
      <c r="N13" s="294"/>
      <c r="O13" s="294"/>
      <c r="P13" s="295"/>
    </row>
    <row r="14" spans="2:20" ht="15" thickBot="1">
      <c r="B14" s="341" t="s">
        <v>26</v>
      </c>
      <c r="C14" s="342" t="e">
        <f>H24</f>
        <v>#N/A</v>
      </c>
      <c r="D14" s="440" t="e">
        <f>H19+H23</f>
        <v>#N/A</v>
      </c>
      <c r="E14" s="321" t="e">
        <f>C14-D14</f>
        <v>#N/A</v>
      </c>
      <c r="G14" s="43" t="s">
        <v>36</v>
      </c>
      <c r="H14" s="42">
        <f>ROUND(C20*C10,4)</f>
        <v>0</v>
      </c>
      <c r="J14" s="293"/>
      <c r="K14" s="294"/>
      <c r="L14" s="294"/>
      <c r="M14" s="294"/>
      <c r="N14" s="294"/>
      <c r="O14" s="294"/>
      <c r="P14" s="295"/>
    </row>
    <row r="15" spans="2:20" ht="15" thickBot="1">
      <c r="C15" s="25"/>
      <c r="D15" s="290"/>
      <c r="E15" s="290"/>
      <c r="G15" s="43" t="s">
        <v>37</v>
      </c>
      <c r="H15" s="42" t="e">
        <f>ROUND(C10*C18,4)</f>
        <v>#N/A</v>
      </c>
      <c r="J15" s="293"/>
      <c r="K15" s="294"/>
      <c r="L15" s="294"/>
      <c r="M15" s="294"/>
      <c r="N15" s="294"/>
      <c r="O15" s="294"/>
      <c r="P15" s="295"/>
    </row>
    <row r="16" spans="2:20" ht="15" thickBot="1">
      <c r="B16" s="52" t="s">
        <v>3</v>
      </c>
      <c r="C16" s="437">
        <f>IF(C13&gt;=7.1%,Rates!B28,Rates!B27)</f>
        <v>13.84</v>
      </c>
      <c r="D16" s="325"/>
      <c r="E16" s="325"/>
      <c r="F16" s="325"/>
      <c r="G16" s="43" t="s">
        <v>19</v>
      </c>
      <c r="H16" s="46">
        <f>ROUND(C21*C12,4)</f>
        <v>0</v>
      </c>
      <c r="J16" s="296"/>
      <c r="K16" s="297"/>
      <c r="L16" s="297"/>
      <c r="M16" s="297"/>
      <c r="N16" s="297"/>
      <c r="O16" s="297"/>
      <c r="P16" s="298"/>
      <c r="Q16" s="7"/>
      <c r="R16" s="3"/>
      <c r="S16" s="7"/>
      <c r="T16" s="3"/>
    </row>
    <row r="17" spans="2:21">
      <c r="B17" s="43" t="s">
        <v>7</v>
      </c>
      <c r="C17" s="365" t="e">
        <f>VLOOKUP((C4&amp;C5&amp;C6),Rates!I:J,2,FALSE)</f>
        <v>#N/A</v>
      </c>
      <c r="D17" s="326"/>
      <c r="E17" s="326"/>
      <c r="F17" s="326"/>
      <c r="G17" s="43" t="s">
        <v>38</v>
      </c>
      <c r="H17" s="45" t="e">
        <f>SUM(H13:H16)</f>
        <v>#N/A</v>
      </c>
      <c r="P17" s="18"/>
      <c r="Q17" s="7"/>
      <c r="S17" s="3"/>
      <c r="T17" s="29"/>
    </row>
    <row r="18" spans="2:21" ht="15.5">
      <c r="B18" s="27" t="s">
        <v>11</v>
      </c>
      <c r="C18" s="365" t="e">
        <f>VLOOKUP(C6,Rates!B142:D147,3,FALSE)</f>
        <v>#N/A</v>
      </c>
      <c r="D18" s="524" t="s">
        <v>301</v>
      </c>
      <c r="E18" s="525"/>
      <c r="F18" s="327"/>
      <c r="G18" s="43" t="s">
        <v>21</v>
      </c>
      <c r="H18" s="44" t="e">
        <f>ROUND(H17*C22,4)</f>
        <v>#N/A</v>
      </c>
      <c r="J18" s="491"/>
      <c r="Q18" s="29"/>
      <c r="R18" s="29"/>
    </row>
    <row r="19" spans="2:21">
      <c r="B19" s="43" t="s">
        <v>17</v>
      </c>
      <c r="C19" s="362" t="e">
        <f>VLOOKUP(C4,Rates!A72:B75,2,FALSE)</f>
        <v>#N/A</v>
      </c>
      <c r="D19" s="322" t="e">
        <f>C33</f>
        <v>#N/A</v>
      </c>
      <c r="E19" s="321" t="e">
        <f>D19-C19</f>
        <v>#N/A</v>
      </c>
      <c r="F19" s="328"/>
      <c r="G19" s="43" t="s">
        <v>39</v>
      </c>
      <c r="H19" s="45" t="e">
        <f>SUM(H17:H18)</f>
        <v>#N/A</v>
      </c>
      <c r="Q19" s="29"/>
      <c r="R19" s="29"/>
    </row>
    <row r="20" spans="2:21">
      <c r="B20" s="43" t="s">
        <v>54</v>
      </c>
      <c r="C20" s="365">
        <f>Rates!B54</f>
        <v>0.38</v>
      </c>
      <c r="D20" s="327"/>
      <c r="E20" s="327"/>
      <c r="F20" s="327"/>
      <c r="G20" s="337" t="s">
        <v>305</v>
      </c>
      <c r="H20" s="338" t="e">
        <f>H22-H21</f>
        <v>#N/A</v>
      </c>
      <c r="Q20" s="18"/>
    </row>
    <row r="21" spans="2:21">
      <c r="B21" s="43" t="s">
        <v>19</v>
      </c>
      <c r="C21" s="365">
        <f>Rates!B77</f>
        <v>8.9300000000000004E-2</v>
      </c>
      <c r="D21" s="329"/>
      <c r="E21" s="329"/>
      <c r="F21" s="329"/>
      <c r="G21" s="337" t="s">
        <v>21</v>
      </c>
      <c r="H21" s="339" t="e">
        <f>ROUND(H22*C22/(1+C22),2)</f>
        <v>#N/A</v>
      </c>
      <c r="Q21" s="29"/>
      <c r="R21" s="18"/>
      <c r="S21" s="18"/>
    </row>
    <row r="22" spans="2:21">
      <c r="B22" s="43" t="s">
        <v>21</v>
      </c>
      <c r="C22" s="362">
        <f>Rates!B79</f>
        <v>0.13</v>
      </c>
      <c r="D22" s="330"/>
      <c r="E22" s="330"/>
      <c r="F22" s="330"/>
      <c r="G22" s="337" t="s">
        <v>49</v>
      </c>
      <c r="H22" s="340" t="e">
        <f>IF(C33&lt;C19,C31+0.05,C31)</f>
        <v>#N/A</v>
      </c>
      <c r="Q22" s="29"/>
      <c r="R22" s="18"/>
      <c r="S22" s="18"/>
    </row>
    <row r="23" spans="2:21" ht="15" thickBot="1">
      <c r="B23" s="56" t="s">
        <v>23</v>
      </c>
      <c r="C23" s="361" t="e">
        <f>IF(C10/C12&gt;0.63,0.2,IF(C10/C12&gt;0.1,0.1,0))</f>
        <v>#DIV/0!</v>
      </c>
      <c r="D23" s="327"/>
      <c r="E23" s="327"/>
      <c r="F23" s="327"/>
      <c r="G23" s="43" t="s">
        <v>42</v>
      </c>
      <c r="H23" s="51" t="e">
        <f>ROUND(C12*C23,2)</f>
        <v>#DIV/0!</v>
      </c>
      <c r="Q23" s="29"/>
      <c r="R23" s="18"/>
      <c r="S23" s="18"/>
    </row>
    <row r="24" spans="2:21" ht="16" thickBot="1">
      <c r="D24" s="331"/>
      <c r="E24" s="331"/>
      <c r="F24" s="331"/>
      <c r="G24" s="57" t="s">
        <v>43</v>
      </c>
      <c r="H24" s="58" t="e">
        <f>SUM(H22:H23)</f>
        <v>#N/A</v>
      </c>
      <c r="Q24" s="29"/>
      <c r="R24" s="18"/>
      <c r="S24" s="18"/>
    </row>
    <row r="25" spans="2:21" hidden="1">
      <c r="B25" s="1" t="s">
        <v>44</v>
      </c>
      <c r="C25" s="23" t="e">
        <f>ROUND(((H20-H16-H14-H15)*C11)/H9-1,4)</f>
        <v>#N/A</v>
      </c>
      <c r="D25" s="330"/>
      <c r="E25" s="330"/>
      <c r="F25" s="330"/>
      <c r="G25" s="332"/>
      <c r="H25" s="82"/>
      <c r="Q25" s="29"/>
      <c r="R25" s="18"/>
      <c r="S25" s="81"/>
    </row>
    <row r="26" spans="2:21" hidden="1">
      <c r="B26" s="1" t="s">
        <v>45</v>
      </c>
      <c r="C26" s="30" t="e">
        <f>ROUND(+H20-(H9/C11),4)</f>
        <v>#N/A</v>
      </c>
      <c r="D26" s="327"/>
      <c r="E26" s="327"/>
      <c r="F26" s="327"/>
      <c r="Q26" s="29"/>
      <c r="R26" s="18"/>
    </row>
    <row r="27" spans="2:21" hidden="1">
      <c r="B27" s="1" t="s">
        <v>46</v>
      </c>
      <c r="C27" s="20" t="e">
        <f>ROUND(C26/H17,3)</f>
        <v>#N/A</v>
      </c>
      <c r="D27" s="327"/>
      <c r="E27" s="327"/>
      <c r="F27" s="327"/>
      <c r="Q27" s="29"/>
      <c r="R27" s="18"/>
      <c r="S27" s="18"/>
    </row>
    <row r="28" spans="2:21" hidden="1">
      <c r="C28" s="20"/>
      <c r="D28" s="332"/>
      <c r="E28" s="332"/>
      <c r="F28" s="332"/>
      <c r="G28" s="330"/>
      <c r="H28" s="82"/>
      <c r="Q28" s="29"/>
      <c r="R28" s="18"/>
      <c r="S28" s="18"/>
    </row>
    <row r="29" spans="2:21" hidden="1">
      <c r="B29" s="1" t="s">
        <v>48</v>
      </c>
      <c r="C29" s="85" t="e">
        <f>C31-C30</f>
        <v>#N/A</v>
      </c>
      <c r="D29" s="330"/>
      <c r="E29" s="330"/>
      <c r="F29" s="330"/>
      <c r="G29" s="330"/>
      <c r="H29" s="82"/>
      <c r="K29" s="75"/>
      <c r="Q29" s="29"/>
      <c r="R29" s="19"/>
      <c r="S29" s="18"/>
    </row>
    <row r="30" spans="2:21" hidden="1">
      <c r="B30" s="1" t="s">
        <v>21</v>
      </c>
      <c r="C30" s="85" t="e">
        <f>ROUND(C31*C22/(1+C22),2)</f>
        <v>#N/A</v>
      </c>
      <c r="D30" s="1"/>
      <c r="E30" s="1"/>
      <c r="F30" s="1"/>
      <c r="G30" s="333"/>
      <c r="H30" s="75"/>
      <c r="J30" s="75"/>
      <c r="K30" s="75"/>
      <c r="P30" s="75"/>
      <c r="Q30" s="29"/>
      <c r="R30" s="18"/>
      <c r="S30" s="18"/>
    </row>
    <row r="31" spans="2:21" ht="15" hidden="1" customHeight="1">
      <c r="B31" s="1" t="s">
        <v>49</v>
      </c>
      <c r="C31" s="85" t="e">
        <f>IF(MOD(H19*1000,50)&gt;24.99,CEILING(H19,0.05),FLOOR(H19,0.05))</f>
        <v>#N/A</v>
      </c>
      <c r="D31" s="1"/>
      <c r="E31" s="1"/>
      <c r="F31" s="1"/>
      <c r="G31" s="334"/>
      <c r="H31" s="75"/>
      <c r="J31" s="75"/>
      <c r="K31" s="75"/>
      <c r="P31" s="75"/>
      <c r="Q31" s="29"/>
      <c r="R31" s="18"/>
      <c r="S31" s="18"/>
    </row>
    <row r="32" spans="2:21" hidden="1">
      <c r="D32" s="330"/>
      <c r="E32" s="330"/>
      <c r="F32" s="330"/>
      <c r="G32" s="326"/>
      <c r="H32" s="75"/>
      <c r="J32" s="75"/>
      <c r="P32" s="75"/>
      <c r="Q32" s="29"/>
      <c r="R32" s="18"/>
      <c r="T32" s="5"/>
      <c r="U32" s="5"/>
    </row>
    <row r="33" spans="2:21" s="75" customFormat="1" hidden="1">
      <c r="B33" s="9" t="s">
        <v>47</v>
      </c>
      <c r="C33" s="88" t="e">
        <f>ROUND(((C29-H16-H14-H15)*C11)/H9-1,4)</f>
        <v>#N/A</v>
      </c>
      <c r="D33" s="333"/>
      <c r="E33" s="333"/>
      <c r="F33" s="333"/>
      <c r="G33" s="333"/>
      <c r="H33" s="9"/>
      <c r="J33" s="1"/>
      <c r="K33" s="1"/>
      <c r="L33" s="1"/>
      <c r="M33" s="1"/>
      <c r="N33" s="1"/>
      <c r="O33" s="1"/>
      <c r="P33" s="1"/>
      <c r="Q33" s="77"/>
      <c r="R33" s="91"/>
      <c r="S33" s="92"/>
      <c r="T33" s="76"/>
      <c r="U33" s="76"/>
    </row>
    <row r="34" spans="2:21" s="75" customFormat="1">
      <c r="D34" s="333"/>
      <c r="E34" s="333"/>
      <c r="F34" s="333"/>
      <c r="G34" s="333"/>
      <c r="H34" s="14"/>
      <c r="J34" s="1"/>
      <c r="K34" s="290"/>
      <c r="L34" s="1"/>
      <c r="M34" s="1"/>
      <c r="N34" s="1"/>
      <c r="O34" s="1"/>
      <c r="P34" s="1"/>
      <c r="Q34" s="77"/>
      <c r="R34" s="91"/>
      <c r="S34" s="92"/>
      <c r="T34" s="76"/>
      <c r="U34" s="76"/>
    </row>
    <row r="35" spans="2:21">
      <c r="D35" s="333"/>
      <c r="E35" s="333"/>
      <c r="F35" s="333"/>
      <c r="G35" s="1"/>
      <c r="K35" s="290"/>
    </row>
    <row r="36" spans="2:21">
      <c r="D36" s="333"/>
      <c r="E36" s="333"/>
      <c r="F36" s="333"/>
      <c r="G36" s="228"/>
      <c r="K36" s="290"/>
    </row>
    <row r="37" spans="2:21">
      <c r="D37" s="333"/>
      <c r="E37" s="333"/>
      <c r="F37" s="333"/>
      <c r="G37" s="333"/>
      <c r="K37" s="290"/>
    </row>
    <row r="38" spans="2:21">
      <c r="D38" s="85"/>
      <c r="E38" s="85"/>
      <c r="F38" s="85"/>
      <c r="G38" s="88"/>
      <c r="K38" s="290"/>
    </row>
    <row r="39" spans="2:21">
      <c r="D39" s="85"/>
      <c r="E39" s="85"/>
      <c r="F39" s="85"/>
    </row>
    <row r="41" spans="2:21">
      <c r="D41" s="88"/>
      <c r="E41" s="88"/>
      <c r="F41" s="88"/>
    </row>
  </sheetData>
  <sheetProtection formatColumns="0" pivotTables="0"/>
  <protectedRanges>
    <protectedRange sqref="B4:B5 C17 C7:C13" name="Range1_1"/>
    <protectedRange password="CCE3" sqref="D18" name="Range3"/>
    <protectedRange password="CCE3" sqref="B23" name="Range3_2"/>
  </protectedRanges>
  <mergeCells count="2">
    <mergeCell ref="D13:E13"/>
    <mergeCell ref="D18:E18"/>
  </mergeCells>
  <conditionalFormatting sqref="E14">
    <cfRule type="cellIs" dxfId="53" priority="4" operator="lessThan">
      <formula>0</formula>
    </cfRule>
    <cfRule type="cellIs" dxfId="52" priority="5" operator="greaterThan">
      <formula>0</formula>
    </cfRule>
    <cfRule type="cellIs" dxfId="51" priority="6" operator="greaterThan">
      <formula>0</formula>
    </cfRule>
  </conditionalFormatting>
  <conditionalFormatting sqref="E19">
    <cfRule type="cellIs" dxfId="50" priority="1" operator="lessThan">
      <formula>0</formula>
    </cfRule>
    <cfRule type="cellIs" dxfId="49" priority="2" operator="greaterThan">
      <formula>0</formula>
    </cfRule>
    <cfRule type="cellIs" dxfId="48"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76008C4B-38DF-44DA-9B88-FC04A6F824F3}">
          <x14:formula1>
            <xm:f>Rates!$A$94:$A$95</xm:f>
          </x14:formula1>
          <xm:sqref>C5</xm:sqref>
        </x14:dataValidation>
        <x14:dataValidation type="list" allowBlank="1" showInputMessage="1" showErrorMessage="1" xr:uid="{12F3B265-360E-4F93-938C-1FEA6BA48F2A}">
          <x14:formula1>
            <xm:f>Rates!$A$72:$A$75</xm:f>
          </x14:formula1>
          <xm:sqref>C4</xm:sqref>
        </x14:dataValidation>
        <x14:dataValidation type="list" showInputMessage="1" showErrorMessage="1" prompt="Pick from drop-down list_x000a_" xr:uid="{1AAEB29F-075C-4FB3-A499-D4C80CC9D1DC}">
          <x14:formula1>
            <xm:f>Rates!$B$142:$B$147</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D464-4221-4507-B9B5-A5C5888105C0}">
  <sheetPr codeName="Sheet4">
    <tabColor theme="7" tint="-0.249977111117893"/>
  </sheetPr>
  <dimension ref="B1:W57"/>
  <sheetViews>
    <sheetView zoomScale="93" zoomScaleNormal="100" workbookViewId="0">
      <selection activeCell="B1" sqref="B1"/>
    </sheetView>
  </sheetViews>
  <sheetFormatPr defaultColWidth="7.4609375" defaultRowHeight="14.5"/>
  <cols>
    <col min="1" max="1" width="2.765625" style="1" customWidth="1"/>
    <col min="2" max="2" width="23.3046875" style="1" customWidth="1"/>
    <col min="3" max="3" width="20.69140625" style="6" customWidth="1"/>
    <col min="4" max="4" width="7.4609375" style="6" customWidth="1"/>
    <col min="5" max="5" width="9.4609375" style="6" customWidth="1"/>
    <col min="6" max="6" width="1.765625" style="6" customWidth="1"/>
    <col min="7" max="7" width="23.23046875" style="6" customWidth="1"/>
    <col min="8" max="8" width="20.69140625" style="6" customWidth="1"/>
    <col min="9" max="9" width="5.765625" style="6" customWidth="1"/>
    <col min="10" max="10" width="17.69140625" style="1" bestFit="1" customWidth="1"/>
    <col min="11" max="11" width="10.765625" style="1" customWidth="1"/>
    <col min="12" max="12" width="8.69140625" style="1" customWidth="1"/>
    <col min="13" max="13" width="8.23046875" style="1" customWidth="1"/>
    <col min="14" max="14" width="6.53515625" style="1" customWidth="1"/>
    <col min="15" max="15" width="4.69140625" style="1" customWidth="1"/>
    <col min="16" max="16" width="16.23046875" style="1" customWidth="1"/>
    <col min="17" max="17" width="12.84375" style="1" customWidth="1"/>
    <col min="18"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4" t="s">
        <v>507</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142</v>
      </c>
      <c r="C4" s="399"/>
      <c r="G4" s="65" t="s">
        <v>55</v>
      </c>
      <c r="H4" s="99"/>
      <c r="J4" s="291" t="s">
        <v>300</v>
      </c>
      <c r="K4" s="25"/>
      <c r="L4" s="292"/>
      <c r="M4" s="25"/>
      <c r="N4" s="25"/>
      <c r="O4" s="25"/>
      <c r="P4" s="115"/>
    </row>
    <row r="5" spans="2:22" ht="15" thickBot="1">
      <c r="B5" s="33" t="s">
        <v>52</v>
      </c>
      <c r="C5" s="400"/>
      <c r="G5" s="40" t="s">
        <v>56</v>
      </c>
      <c r="H5" s="41">
        <f>ROUND(C7*C8,4)</f>
        <v>0</v>
      </c>
      <c r="J5" s="299"/>
      <c r="K5" s="300"/>
      <c r="L5" s="300"/>
      <c r="M5" s="300"/>
      <c r="N5" s="300"/>
      <c r="O5" s="300"/>
      <c r="P5" s="301"/>
    </row>
    <row r="6" spans="2:22" ht="15" thickBot="1">
      <c r="B6" s="220" t="s">
        <v>9</v>
      </c>
      <c r="C6" s="400"/>
      <c r="G6" s="27" t="s">
        <v>30</v>
      </c>
      <c r="H6" s="288" t="e">
        <f>IF(C4=Rates!A66, ROUND(C11*C10*C13*C16,4),ROUND(+C11*C10*C16,4))</f>
        <v>#N/A</v>
      </c>
      <c r="J6" s="293"/>
      <c r="K6" s="294"/>
      <c r="L6" s="294"/>
      <c r="M6" s="294"/>
      <c r="N6" s="294"/>
      <c r="O6" s="294"/>
      <c r="P6" s="295"/>
      <c r="T6" s="26"/>
    </row>
    <row r="7" spans="2:22" ht="15" thickBot="1">
      <c r="B7" s="33" t="s">
        <v>467</v>
      </c>
      <c r="C7" s="401"/>
      <c r="G7" s="27" t="s">
        <v>29</v>
      </c>
      <c r="H7" s="42" t="b">
        <f>IF(C4=Rates!A66,ROUND(C11*C10*C13*C17,4),IF(C4=Rates!A67,ROUND((C17*C24),4),IF(C4=Rates!A69,ROUND((C17*C24),4),IF(C4=Rates!A68,ROUND((C17*C24),4),IF(C4=Rates!A70,ROUND(+H5*C17,4),IF(C4=Rates!A71,ROUND(+C12*C11,4)*C17))))))</f>
        <v>0</v>
      </c>
      <c r="J7" s="293"/>
      <c r="K7" s="294"/>
      <c r="L7" s="294"/>
      <c r="M7" s="294"/>
      <c r="N7" s="294"/>
      <c r="O7" s="294"/>
      <c r="P7" s="295"/>
    </row>
    <row r="8" spans="2:22" ht="15" thickBot="1">
      <c r="B8" s="220" t="s">
        <v>14</v>
      </c>
      <c r="C8" s="402"/>
      <c r="G8" s="43" t="s">
        <v>16</v>
      </c>
      <c r="H8" s="42">
        <f>C9</f>
        <v>0</v>
      </c>
      <c r="J8" s="293"/>
      <c r="K8" s="294"/>
      <c r="L8" s="294"/>
      <c r="M8" s="294"/>
      <c r="N8" s="294"/>
      <c r="O8" s="294"/>
      <c r="P8" s="295"/>
      <c r="T8" s="26"/>
    </row>
    <row r="9" spans="2:22" ht="15" thickBot="1">
      <c r="B9" s="222" t="s">
        <v>16</v>
      </c>
      <c r="C9" s="401"/>
      <c r="G9" s="43" t="s">
        <v>31</v>
      </c>
      <c r="H9" s="44" t="e">
        <f>SUM(H5:H8)</f>
        <v>#N/A</v>
      </c>
      <c r="J9" s="293"/>
      <c r="K9" s="294"/>
      <c r="L9" s="294"/>
      <c r="M9" s="294"/>
      <c r="N9" s="294"/>
      <c r="O9" s="294"/>
      <c r="P9" s="295"/>
    </row>
    <row r="10" spans="2:22" ht="15" thickBot="1">
      <c r="B10" s="221" t="s">
        <v>18</v>
      </c>
      <c r="C10" s="403"/>
      <c r="G10" s="43" t="s">
        <v>57</v>
      </c>
      <c r="H10" s="45" t="e">
        <f>ROUND(H9*C19,4)</f>
        <v>#N/A</v>
      </c>
      <c r="J10" s="293"/>
      <c r="K10" s="294"/>
      <c r="L10" s="294"/>
      <c r="M10" s="294"/>
      <c r="N10" s="294"/>
      <c r="O10" s="294"/>
      <c r="P10" s="295"/>
      <c r="T10" s="26"/>
    </row>
    <row r="11" spans="2:22" ht="15" thickBot="1">
      <c r="B11" s="220" t="s">
        <v>20</v>
      </c>
      <c r="C11" s="404"/>
      <c r="G11" s="43" t="s">
        <v>58</v>
      </c>
      <c r="H11" s="42" t="e">
        <f>SUM(H9:H10)</f>
        <v>#N/A</v>
      </c>
      <c r="J11" s="293"/>
      <c r="K11" s="294"/>
      <c r="L11" s="294"/>
      <c r="M11" s="294"/>
      <c r="N11" s="294"/>
      <c r="O11" s="294"/>
      <c r="P11" s="295"/>
    </row>
    <row r="12" spans="2:22" ht="15" thickBot="1">
      <c r="B12" s="220" t="s">
        <v>22</v>
      </c>
      <c r="C12" s="404"/>
      <c r="G12" s="43"/>
      <c r="H12" s="80"/>
      <c r="J12" s="293"/>
      <c r="K12" s="294"/>
      <c r="L12" s="294"/>
      <c r="M12" s="294"/>
      <c r="N12" s="294"/>
      <c r="O12" s="294"/>
      <c r="P12" s="295"/>
      <c r="T12" s="26"/>
    </row>
    <row r="13" spans="2:22" ht="15" thickBot="1">
      <c r="B13" s="223" t="s">
        <v>24</v>
      </c>
      <c r="C13" s="444"/>
      <c r="D13" s="524" t="s">
        <v>306</v>
      </c>
      <c r="E13" s="525"/>
      <c r="G13" s="43" t="s">
        <v>35</v>
      </c>
      <c r="H13" s="45" t="e">
        <f>ROUND(H11/C11,4)</f>
        <v>#N/A</v>
      </c>
      <c r="J13" s="293"/>
      <c r="K13" s="294"/>
      <c r="L13" s="294"/>
      <c r="M13" s="294"/>
      <c r="N13" s="294"/>
      <c r="O13" s="294"/>
      <c r="P13" s="295"/>
    </row>
    <row r="14" spans="2:22" ht="15" thickBot="1">
      <c r="B14" s="341" t="s">
        <v>26</v>
      </c>
      <c r="C14" s="342" t="e">
        <f>H24</f>
        <v>#N/A</v>
      </c>
      <c r="D14" s="440" t="e">
        <f>H19+H23</f>
        <v>#N/A</v>
      </c>
      <c r="E14" s="321" t="e">
        <f>C14-D14</f>
        <v>#N/A</v>
      </c>
      <c r="G14" s="43" t="s">
        <v>36</v>
      </c>
      <c r="H14" s="42">
        <f>ROUND(C20*C10,4)</f>
        <v>0</v>
      </c>
      <c r="J14" s="293"/>
      <c r="K14" s="294"/>
      <c r="L14" s="294"/>
      <c r="M14" s="294"/>
      <c r="N14" s="294"/>
      <c r="O14" s="294"/>
      <c r="P14" s="295"/>
    </row>
    <row r="15" spans="2:22" ht="15" thickBot="1">
      <c r="C15" s="25"/>
      <c r="G15" s="43" t="s">
        <v>37</v>
      </c>
      <c r="H15" s="42" t="e">
        <f>ROUND(C10*C18,4)</f>
        <v>#N/A</v>
      </c>
      <c r="J15" s="293"/>
      <c r="K15" s="294"/>
      <c r="L15" s="294"/>
      <c r="M15" s="294"/>
      <c r="N15" s="294"/>
      <c r="O15" s="294"/>
      <c r="P15" s="295"/>
    </row>
    <row r="16" spans="2:22" ht="15" thickBot="1">
      <c r="B16" s="52" t="s">
        <v>3</v>
      </c>
      <c r="C16" s="382" t="e">
        <f>VLOOKUP(C4,Rates!E18:F27,2,FALSE)</f>
        <v>#N/A</v>
      </c>
      <c r="G16" s="43" t="s">
        <v>19</v>
      </c>
      <c r="H16" s="46">
        <f>ROUND(C21*C12,4)</f>
        <v>0</v>
      </c>
      <c r="J16" s="296"/>
      <c r="K16" s="297"/>
      <c r="L16" s="297"/>
      <c r="M16" s="297"/>
      <c r="N16" s="297"/>
      <c r="O16" s="297"/>
      <c r="P16" s="298"/>
      <c r="S16" s="7"/>
      <c r="T16" s="3"/>
      <c r="U16" s="7"/>
      <c r="V16" s="3"/>
    </row>
    <row r="17" spans="2:23">
      <c r="B17" s="43" t="s">
        <v>7</v>
      </c>
      <c r="C17" s="365">
        <f>IF(C5="Y",0,(IF(C6="Domestic",0,IF(C4="Still Cider",Rates!B130,IF(C4="Sparkling Cider",Rates!B131,Rates!B132)))))</f>
        <v>0.12280000000000001</v>
      </c>
      <c r="G17" s="43" t="s">
        <v>38</v>
      </c>
      <c r="H17" s="45" t="e">
        <f>SUM(H13:H16)</f>
        <v>#N/A</v>
      </c>
      <c r="J17" s="8"/>
      <c r="S17" s="7"/>
      <c r="U17" s="3"/>
      <c r="V17" s="29"/>
    </row>
    <row r="18" spans="2:23" ht="15.5">
      <c r="B18" s="27" t="s">
        <v>11</v>
      </c>
      <c r="C18" s="365" t="e">
        <f>VLOOKUP(C4&amp;C6,Rates!C:D,2,FALSE)</f>
        <v>#N/A</v>
      </c>
      <c r="D18" s="524" t="s">
        <v>301</v>
      </c>
      <c r="E18" s="525"/>
      <c r="F18" s="328"/>
      <c r="G18" s="43" t="s">
        <v>21</v>
      </c>
      <c r="H18" s="44" t="e">
        <f>ROUND(H17*C22,4)</f>
        <v>#N/A</v>
      </c>
      <c r="J18" s="491"/>
      <c r="K18" s="492"/>
      <c r="S18" s="29"/>
      <c r="T18" s="29"/>
    </row>
    <row r="19" spans="2:23">
      <c r="B19" s="43" t="s">
        <v>17</v>
      </c>
      <c r="C19" s="362" t="e">
        <f>VLOOKUP(C4,Rates!A66:B71,2,0)</f>
        <v>#N/A</v>
      </c>
      <c r="D19" s="322" t="e">
        <f>C37</f>
        <v>#N/A</v>
      </c>
      <c r="E19" s="321" t="e">
        <f>D19-C19</f>
        <v>#N/A</v>
      </c>
      <c r="F19" s="327"/>
      <c r="G19" s="43" t="s">
        <v>39</v>
      </c>
      <c r="H19" s="45" t="e">
        <f>SUM(H17:H18)</f>
        <v>#N/A</v>
      </c>
      <c r="J19" s="88"/>
      <c r="K19" s="88"/>
      <c r="R19" s="18"/>
      <c r="S19" s="18"/>
    </row>
    <row r="20" spans="2:23">
      <c r="B20" s="43" t="s">
        <v>36</v>
      </c>
      <c r="C20" s="360">
        <f>IF(C4=Rates!A66,Rates!B54,Rates!B55)</f>
        <v>0.28000000000000003</v>
      </c>
      <c r="D20" s="327"/>
      <c r="E20" s="327"/>
      <c r="F20" s="327"/>
      <c r="G20" s="337" t="s">
        <v>305</v>
      </c>
      <c r="H20" s="49" t="e">
        <f>H22-H21</f>
        <v>#N/A</v>
      </c>
      <c r="J20" s="6"/>
      <c r="K20" s="6"/>
      <c r="S20" s="29"/>
      <c r="T20" s="18"/>
      <c r="U20" s="18"/>
    </row>
    <row r="21" spans="2:23">
      <c r="B21" s="43" t="s">
        <v>19</v>
      </c>
      <c r="C21" s="360">
        <f>Rates!B77</f>
        <v>8.9300000000000004E-2</v>
      </c>
      <c r="D21" s="329"/>
      <c r="E21" s="329"/>
      <c r="F21" s="329"/>
      <c r="G21" s="337" t="s">
        <v>21</v>
      </c>
      <c r="H21" s="78" t="e">
        <f>ROUND(H22*C22/(1+C22),2)</f>
        <v>#N/A</v>
      </c>
      <c r="J21" s="6"/>
      <c r="K21" s="6"/>
      <c r="S21" s="29"/>
      <c r="T21" s="18"/>
      <c r="U21" s="18"/>
    </row>
    <row r="22" spans="2:23">
      <c r="B22" s="43" t="s">
        <v>21</v>
      </c>
      <c r="C22" s="362">
        <f>Rates!B79</f>
        <v>0.13</v>
      </c>
      <c r="D22" s="330"/>
      <c r="E22" s="330"/>
      <c r="F22" s="330"/>
      <c r="G22" s="337" t="s">
        <v>49</v>
      </c>
      <c r="H22" s="50" t="e">
        <f>IF(C37&lt;C19,C35+0.05,C35)</f>
        <v>#N/A</v>
      </c>
      <c r="J22" s="6"/>
      <c r="K22" s="6"/>
      <c r="S22" s="29"/>
      <c r="T22" s="18"/>
      <c r="U22" s="18"/>
    </row>
    <row r="23" spans="2:23" ht="15" thickBot="1">
      <c r="B23" s="43" t="s">
        <v>23</v>
      </c>
      <c r="C23" s="360" t="e">
        <f>IF(C10/C12&gt;0.63,0.2,IF(C10/C12&gt;0.1,0.1,0))</f>
        <v>#DIV/0!</v>
      </c>
      <c r="D23" s="327"/>
      <c r="E23" s="327"/>
      <c r="F23" s="327"/>
      <c r="G23" s="43" t="s">
        <v>42</v>
      </c>
      <c r="H23" s="51" t="e">
        <f>ROUND(C12*C23,2)</f>
        <v>#DIV/0!</v>
      </c>
      <c r="J23" s="6"/>
      <c r="K23" s="6"/>
      <c r="S23" s="29"/>
      <c r="T23" s="18"/>
      <c r="U23" s="18"/>
    </row>
    <row r="24" spans="2:23" ht="16" thickBot="1">
      <c r="B24" s="56" t="s">
        <v>25</v>
      </c>
      <c r="C24" s="364">
        <f>+ROUND(((C10*C11)*C13),4)</f>
        <v>0</v>
      </c>
      <c r="D24" s="331"/>
      <c r="E24" s="331"/>
      <c r="F24" s="331"/>
      <c r="G24" s="57" t="s">
        <v>43</v>
      </c>
      <c r="H24" s="58" t="e">
        <f>SUM(H22:H23)</f>
        <v>#N/A</v>
      </c>
      <c r="J24" s="6"/>
      <c r="K24" s="6"/>
      <c r="S24" s="29"/>
      <c r="T24" s="18"/>
      <c r="U24" s="81"/>
    </row>
    <row r="25" spans="2:23">
      <c r="D25" s="330"/>
      <c r="E25" s="330"/>
      <c r="F25" s="330"/>
      <c r="G25" s="332"/>
      <c r="H25" s="332"/>
      <c r="J25" s="6"/>
      <c r="K25" s="6"/>
      <c r="S25" s="29"/>
      <c r="T25" s="18"/>
    </row>
    <row r="26" spans="2:23">
      <c r="D26" s="327"/>
      <c r="E26" s="327"/>
      <c r="F26" s="327"/>
      <c r="G26" s="1" t="s">
        <v>4</v>
      </c>
      <c r="H26" s="330"/>
      <c r="J26" s="6"/>
      <c r="K26" s="6"/>
      <c r="L26" s="75"/>
      <c r="M26" s="75"/>
      <c r="S26" s="29"/>
      <c r="T26" s="18"/>
      <c r="U26" s="18"/>
    </row>
    <row r="27" spans="2:23">
      <c r="D27" s="327"/>
      <c r="E27" s="327"/>
      <c r="F27" s="327"/>
      <c r="G27" s="228" t="s">
        <v>8</v>
      </c>
      <c r="H27" s="329"/>
      <c r="J27" s="6"/>
      <c r="K27" s="6"/>
      <c r="L27" s="75"/>
      <c r="S27" s="29"/>
      <c r="T27" s="18"/>
      <c r="U27" s="18"/>
    </row>
    <row r="28" spans="2:23" ht="15" customHeight="1">
      <c r="D28" s="329"/>
      <c r="E28" s="329"/>
      <c r="F28" s="329"/>
      <c r="G28" s="326"/>
      <c r="H28" s="326"/>
      <c r="I28" s="329"/>
      <c r="J28" s="6"/>
      <c r="K28" s="6"/>
      <c r="S28" s="29"/>
      <c r="T28" s="18"/>
      <c r="U28" s="18"/>
    </row>
    <row r="29" spans="2:23" s="75" customFormat="1" hidden="1">
      <c r="B29" s="1" t="s">
        <v>44</v>
      </c>
      <c r="C29" s="23" t="e">
        <f>ROUND(((H20-H16-H14-H15)*C11)/H9-1,4)</f>
        <v>#N/A</v>
      </c>
      <c r="D29" s="326"/>
      <c r="E29" s="326"/>
      <c r="F29" s="326"/>
      <c r="G29" s="325"/>
      <c r="H29" s="325"/>
      <c r="I29" s="326"/>
      <c r="J29" s="6"/>
      <c r="K29" s="6"/>
      <c r="L29" s="1"/>
      <c r="M29" s="1"/>
      <c r="N29" s="1"/>
      <c r="O29" s="1"/>
      <c r="P29" s="1"/>
      <c r="Q29" s="1"/>
      <c r="S29" s="77"/>
      <c r="T29" s="91"/>
      <c r="U29" s="92"/>
      <c r="V29" s="76"/>
      <c r="W29" s="76"/>
    </row>
    <row r="30" spans="2:23" s="75" customFormat="1" hidden="1">
      <c r="B30" s="1" t="s">
        <v>45</v>
      </c>
      <c r="C30" s="30" t="e">
        <f>ROUND(+H20-(H9/C11),4)</f>
        <v>#N/A</v>
      </c>
      <c r="D30" s="334"/>
      <c r="E30" s="334"/>
      <c r="F30" s="334"/>
      <c r="G30" s="335"/>
      <c r="H30" s="335"/>
      <c r="I30" s="334"/>
      <c r="J30" s="6"/>
      <c r="K30" s="6"/>
      <c r="L30" s="1"/>
      <c r="M30" s="1"/>
      <c r="N30" s="1"/>
      <c r="O30" s="1"/>
      <c r="P30" s="1"/>
      <c r="Q30" s="1"/>
      <c r="S30" s="77"/>
      <c r="T30" s="91"/>
      <c r="U30" s="92"/>
      <c r="V30" s="76"/>
      <c r="W30" s="76"/>
    </row>
    <row r="31" spans="2:23" hidden="1">
      <c r="B31" s="1" t="s">
        <v>46</v>
      </c>
      <c r="C31" s="20" t="e">
        <f>ROUND(C30/H17,3)</f>
        <v>#N/A</v>
      </c>
      <c r="D31" s="326"/>
      <c r="E31" s="326"/>
      <c r="F31" s="326"/>
      <c r="G31" s="325"/>
      <c r="H31" s="325"/>
      <c r="I31" s="326"/>
      <c r="J31" s="6"/>
      <c r="K31" s="6"/>
      <c r="S31" s="29"/>
      <c r="T31" s="18"/>
      <c r="U31" s="18"/>
    </row>
    <row r="32" spans="2:23" ht="15.5" hidden="1">
      <c r="C32" s="20"/>
      <c r="D32" s="325"/>
      <c r="E32" s="325"/>
      <c r="F32" s="325"/>
      <c r="G32" s="336"/>
      <c r="H32" s="336"/>
      <c r="I32" s="325"/>
      <c r="J32" s="6"/>
      <c r="K32" s="6"/>
      <c r="S32" s="29"/>
      <c r="T32" s="18"/>
      <c r="U32" s="18"/>
    </row>
    <row r="33" spans="2:21" hidden="1">
      <c r="B33" s="1" t="s">
        <v>48</v>
      </c>
      <c r="C33" s="85" t="e">
        <f>C35-C34</f>
        <v>#N/A</v>
      </c>
      <c r="D33" s="335"/>
      <c r="E33" s="335"/>
      <c r="F33" s="335"/>
      <c r="I33" s="335"/>
      <c r="J33" s="6"/>
      <c r="K33" s="6"/>
      <c r="S33" s="29"/>
      <c r="T33" s="18"/>
      <c r="U33" s="18"/>
    </row>
    <row r="34" spans="2:21" hidden="1">
      <c r="B34" s="1" t="s">
        <v>21</v>
      </c>
      <c r="C34" s="85" t="e">
        <f>ROUND(C35*C22/(1+C22),2)</f>
        <v>#N/A</v>
      </c>
      <c r="D34" s="325"/>
      <c r="E34" s="325"/>
      <c r="F34" s="325"/>
      <c r="G34" s="23"/>
      <c r="H34" s="23"/>
      <c r="I34" s="325"/>
      <c r="J34" s="6"/>
      <c r="K34" s="6"/>
      <c r="S34" s="29"/>
      <c r="T34" s="18"/>
      <c r="U34" s="89"/>
    </row>
    <row r="35" spans="2:21" ht="15.5" hidden="1">
      <c r="B35" s="1" t="s">
        <v>49</v>
      </c>
      <c r="C35" s="85" t="e">
        <f>IF(MOD(H19*1000,50)&gt;24.99,CEILING(H19,0.05),FLOOR(H19,0.05))</f>
        <v>#N/A</v>
      </c>
      <c r="D35" s="336"/>
      <c r="E35" s="336"/>
      <c r="F35" s="336"/>
      <c r="G35" s="30"/>
      <c r="H35" s="30"/>
      <c r="I35" s="336"/>
      <c r="J35" s="493"/>
      <c r="K35" s="493"/>
      <c r="S35" s="29"/>
      <c r="T35" s="18"/>
      <c r="U35" s="90"/>
    </row>
    <row r="36" spans="2:21" hidden="1">
      <c r="G36" s="20"/>
      <c r="H36" s="20"/>
      <c r="J36" s="493"/>
      <c r="K36" s="493"/>
      <c r="S36" s="29"/>
      <c r="T36" s="18"/>
      <c r="U36" s="90"/>
    </row>
    <row r="37" spans="2:21" hidden="1">
      <c r="B37" s="9" t="s">
        <v>47</v>
      </c>
      <c r="C37" s="88" t="e">
        <f>ROUND(((C33-H16-H14-H15)*C11)/H9-1,4)</f>
        <v>#N/A</v>
      </c>
      <c r="D37" s="23"/>
      <c r="E37" s="23"/>
      <c r="F37" s="23"/>
      <c r="G37" s="20"/>
      <c r="H37" s="20"/>
      <c r="I37" s="23"/>
      <c r="J37" s="493"/>
      <c r="K37" s="493"/>
    </row>
    <row r="38" spans="2:21">
      <c r="D38" s="30"/>
      <c r="E38" s="30"/>
      <c r="F38" s="30"/>
      <c r="G38" s="85"/>
      <c r="H38" s="85"/>
      <c r="I38" s="30"/>
      <c r="J38" s="88"/>
      <c r="K38" s="88"/>
    </row>
    <row r="39" spans="2:21">
      <c r="D39" s="20"/>
      <c r="E39" s="20"/>
      <c r="F39" s="20"/>
      <c r="G39" s="85"/>
      <c r="H39" s="85"/>
      <c r="I39" s="20"/>
      <c r="J39" s="6"/>
      <c r="K39" s="6"/>
    </row>
    <row r="40" spans="2:21">
      <c r="D40" s="20"/>
      <c r="E40" s="20"/>
      <c r="F40" s="20"/>
      <c r="G40" s="85"/>
      <c r="H40" s="85"/>
      <c r="I40" s="20"/>
      <c r="J40" s="6"/>
      <c r="K40" s="6"/>
    </row>
    <row r="41" spans="2:21">
      <c r="D41" s="85"/>
      <c r="E41" s="85"/>
      <c r="F41" s="85"/>
      <c r="G41" s="325"/>
      <c r="H41" s="325"/>
      <c r="I41" s="85"/>
      <c r="J41" s="6"/>
      <c r="K41" s="6"/>
    </row>
    <row r="42" spans="2:21">
      <c r="D42" s="85"/>
      <c r="E42" s="85"/>
      <c r="F42" s="85"/>
      <c r="G42" s="88"/>
      <c r="H42" s="88"/>
      <c r="I42" s="85"/>
      <c r="J42" s="6"/>
      <c r="K42" s="6"/>
    </row>
    <row r="43" spans="2:21">
      <c r="D43" s="85"/>
      <c r="E43" s="85"/>
      <c r="F43" s="85"/>
      <c r="G43" s="325"/>
      <c r="H43" s="325"/>
      <c r="I43" s="85"/>
      <c r="J43" s="6"/>
      <c r="K43" s="6"/>
    </row>
    <row r="44" spans="2:21">
      <c r="G44" s="325"/>
      <c r="H44" s="325"/>
      <c r="J44" s="6"/>
      <c r="K44" s="6"/>
    </row>
    <row r="45" spans="2:21">
      <c r="D45" s="88"/>
      <c r="E45" s="88"/>
      <c r="F45" s="88"/>
      <c r="G45" s="325"/>
      <c r="H45" s="325"/>
      <c r="I45" s="88"/>
      <c r="J45" s="6"/>
      <c r="K45" s="6"/>
    </row>
    <row r="46" spans="2:21">
      <c r="G46" s="325"/>
      <c r="H46" s="325"/>
      <c r="J46" s="6"/>
      <c r="K46" s="6"/>
    </row>
    <row r="47" spans="2:21">
      <c r="G47" s="325"/>
      <c r="H47" s="325"/>
      <c r="J47" s="6"/>
      <c r="K47" s="6"/>
    </row>
    <row r="48" spans="2:21">
      <c r="G48" s="325"/>
      <c r="H48" s="325"/>
      <c r="J48" s="6"/>
      <c r="K48" s="6"/>
    </row>
    <row r="49" spans="7:11">
      <c r="G49" s="325"/>
      <c r="H49" s="325"/>
      <c r="J49" s="6"/>
      <c r="K49" s="6"/>
    </row>
    <row r="50" spans="7:11">
      <c r="G50" s="325"/>
      <c r="H50" s="325"/>
      <c r="J50" s="6"/>
      <c r="K50" s="6"/>
    </row>
    <row r="51" spans="7:11">
      <c r="G51" s="325"/>
      <c r="H51" s="325"/>
      <c r="J51" s="6"/>
      <c r="K51" s="6"/>
    </row>
    <row r="52" spans="7:11">
      <c r="G52" s="325"/>
      <c r="H52" s="325"/>
      <c r="J52" s="6"/>
      <c r="K52" s="6"/>
    </row>
    <row r="53" spans="7:11">
      <c r="G53" s="325"/>
      <c r="H53" s="325"/>
      <c r="J53" s="6"/>
      <c r="K53" s="6"/>
    </row>
    <row r="54" spans="7:11">
      <c r="G54" s="325"/>
      <c r="H54" s="325"/>
    </row>
    <row r="55" spans="7:11">
      <c r="G55" s="325"/>
      <c r="H55" s="325"/>
    </row>
    <row r="56" spans="7:11">
      <c r="G56" s="325"/>
      <c r="H56" s="325"/>
    </row>
    <row r="57" spans="7:11">
      <c r="G57" s="325"/>
      <c r="H57" s="325"/>
    </row>
  </sheetData>
  <sheetProtection formatColumns="0" autoFilter="0" pivotTables="0"/>
  <protectedRanges>
    <protectedRange sqref="C17 B4:B5 C7:C13" name="Range1_1"/>
    <protectedRange password="CCE3" sqref="D18" name="Range3"/>
    <protectedRange password="CCE3" sqref="B23" name="Range3_2"/>
  </protectedRanges>
  <mergeCells count="2">
    <mergeCell ref="D13:E13"/>
    <mergeCell ref="D18:E18"/>
  </mergeCells>
  <conditionalFormatting sqref="E14">
    <cfRule type="cellIs" dxfId="47" priority="4" operator="lessThan">
      <formula>0</formula>
    </cfRule>
    <cfRule type="cellIs" dxfId="46" priority="5" operator="greaterThan">
      <formula>0</formula>
    </cfRule>
    <cfRule type="cellIs" dxfId="45" priority="6" operator="greaterThan">
      <formula>0</formula>
    </cfRule>
  </conditionalFormatting>
  <conditionalFormatting sqref="E19">
    <cfRule type="cellIs" dxfId="44" priority="1" operator="lessThan">
      <formula>0</formula>
    </cfRule>
    <cfRule type="cellIs" dxfId="43" priority="2" operator="greaterThan">
      <formula>0</formula>
    </cfRule>
    <cfRule type="cellIs" dxfId="42" priority="3" operator="greaterThan">
      <formula>0</formula>
    </cfRule>
  </conditionalFormatting>
  <hyperlinks>
    <hyperlink ref="G27" r:id="rId1" display="https://www.doingbusinesswithlcbo.com/content/dbwl/en/basepage/home/new-supplier-agent/Pricing/HelpfulToolsandLinks.html" xr:uid="{F230F74A-FE79-4DB4-9997-D1B8D66A60F7}"/>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D39096D7-772B-4ED8-B305-C3DBB14EA354}">
          <x14:formula1>
            <xm:f>Rates!$A$94:$A$95</xm:f>
          </x14:formula1>
          <xm:sqref>C5 G5</xm:sqref>
        </x14:dataValidation>
        <x14:dataValidation type="list" allowBlank="1" showInputMessage="1" showErrorMessage="1" xr:uid="{2BC59C36-3A6C-4C57-8B61-73626F2BB00A}">
          <x14:formula1>
            <xm:f>Rates!$A$66:$A$71</xm:f>
          </x14:formula1>
          <xm:sqref>C4 G4:H4</xm:sqref>
        </x14:dataValidation>
        <x14:dataValidation type="list" showInputMessage="1" showErrorMessage="1" prompt="Pick from drop-down list_x000a_" xr:uid="{E3867AD5-6D0D-4C50-B574-E558FEC2EFFF}">
          <x14:formula1>
            <xm:f>Rates!$B$142:$B$147</xm:f>
          </x14:formula1>
          <xm:sqref>C6 G6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B6CD-7CF2-40BB-8292-C95CDB7EFD27}">
  <sheetPr codeName="Sheet5">
    <tabColor rgb="FFFF0000"/>
  </sheetPr>
  <dimension ref="A1:O450"/>
  <sheetViews>
    <sheetView topLeftCell="B16" zoomScale="85" zoomScaleNormal="85" workbookViewId="0">
      <selection activeCell="A67" sqref="A67"/>
    </sheetView>
  </sheetViews>
  <sheetFormatPr defaultRowHeight="15.5"/>
  <cols>
    <col min="1" max="1" width="43.4609375" customWidth="1"/>
    <col min="2" max="2" width="25.84375" bestFit="1" customWidth="1"/>
    <col min="3" max="3" width="17.07421875" customWidth="1"/>
    <col min="4" max="4" width="16.23046875" bestFit="1" customWidth="1"/>
    <col min="5" max="5" width="13.3046875" customWidth="1"/>
    <col min="6" max="6" width="8.69140625" style="229" customWidth="1"/>
    <col min="7" max="7" width="10.84375" style="229" customWidth="1"/>
    <col min="8" max="8" width="20.53515625" style="229" customWidth="1"/>
    <col min="9" max="9" width="9.07421875" style="229" customWidth="1"/>
    <col min="10" max="10" width="8.765625" style="230" bestFit="1" customWidth="1"/>
    <col min="11" max="12" width="6.84375" bestFit="1" customWidth="1"/>
    <col min="13" max="13" width="14.23046875" style="516" customWidth="1"/>
    <col min="14" max="14" width="27.23046875" style="516" customWidth="1"/>
    <col min="15" max="15" width="13" style="516" customWidth="1"/>
  </cols>
  <sheetData>
    <row r="1" spans="1:15" ht="16" thickBot="1">
      <c r="M1" s="526" t="s">
        <v>504</v>
      </c>
      <c r="N1" s="526"/>
      <c r="O1" s="526"/>
    </row>
    <row r="2" spans="1:15" ht="21" thickBot="1">
      <c r="A2" s="184" t="s">
        <v>111</v>
      </c>
      <c r="B2" s="214" t="s">
        <v>352</v>
      </c>
      <c r="C2" s="215" t="s">
        <v>112</v>
      </c>
      <c r="M2" s="527"/>
      <c r="N2" s="527"/>
      <c r="O2" s="527"/>
    </row>
    <row r="3" spans="1:15" ht="21" thickBot="1">
      <c r="A3" s="210" t="s">
        <v>113</v>
      </c>
      <c r="C3" s="273">
        <v>0.74109999999999998</v>
      </c>
      <c r="E3" s="69" t="s">
        <v>114</v>
      </c>
      <c r="M3" s="530" t="s">
        <v>474</v>
      </c>
      <c r="N3" s="531"/>
      <c r="O3" s="517" t="s">
        <v>475</v>
      </c>
    </row>
    <row r="4" spans="1:15" ht="16" thickBot="1">
      <c r="A4" s="210" t="s">
        <v>115</v>
      </c>
      <c r="C4" s="274">
        <v>0.2006</v>
      </c>
      <c r="E4" s="176" t="s">
        <v>116</v>
      </c>
      <c r="F4" s="231">
        <v>2.8159999999999998</v>
      </c>
      <c r="L4" t="s">
        <v>2</v>
      </c>
      <c r="M4" s="532" t="s">
        <v>476</v>
      </c>
      <c r="N4" s="518" t="s">
        <v>477</v>
      </c>
      <c r="O4" s="519" t="s">
        <v>478</v>
      </c>
    </row>
    <row r="5" spans="1:15" ht="16" thickBot="1">
      <c r="A5" s="216" t="s">
        <v>117</v>
      </c>
      <c r="B5" s="37"/>
      <c r="C5" s="274">
        <v>0.1245</v>
      </c>
      <c r="E5" s="177" t="s">
        <v>118</v>
      </c>
      <c r="F5" s="232">
        <v>67.900000000000006</v>
      </c>
      <c r="L5" t="s">
        <v>505</v>
      </c>
      <c r="M5" s="533"/>
      <c r="N5" s="518" t="s">
        <v>479</v>
      </c>
      <c r="O5" s="519" t="s">
        <v>480</v>
      </c>
    </row>
    <row r="6" spans="1:15" ht="21" thickBot="1">
      <c r="A6" s="69"/>
      <c r="E6" s="177" t="s">
        <v>119</v>
      </c>
      <c r="F6" s="233">
        <v>0.28999999999999998</v>
      </c>
      <c r="L6" t="s">
        <v>132</v>
      </c>
      <c r="M6" s="534"/>
      <c r="N6" s="518" t="s">
        <v>481</v>
      </c>
      <c r="O6" s="519" t="s">
        <v>482</v>
      </c>
    </row>
    <row r="7" spans="1:15" ht="21" thickBot="1">
      <c r="A7" s="201" t="s">
        <v>68</v>
      </c>
      <c r="B7" s="212">
        <v>0.17599999999999999</v>
      </c>
      <c r="C7" s="213"/>
      <c r="E7" s="177" t="s">
        <v>120</v>
      </c>
      <c r="F7" s="233">
        <v>0.04</v>
      </c>
      <c r="J7" s="229"/>
      <c r="L7" t="s">
        <v>506</v>
      </c>
      <c r="M7" s="532" t="s">
        <v>483</v>
      </c>
      <c r="N7" s="518" t="s">
        <v>477</v>
      </c>
      <c r="O7" s="519" t="s">
        <v>484</v>
      </c>
    </row>
    <row r="8" spans="1:15" ht="21" thickBot="1">
      <c r="A8" s="69"/>
      <c r="J8" s="229"/>
      <c r="L8" t="s">
        <v>114</v>
      </c>
      <c r="M8" s="533"/>
      <c r="N8" s="518" t="s">
        <v>479</v>
      </c>
      <c r="O8" s="519" t="s">
        <v>485</v>
      </c>
    </row>
    <row r="9" spans="1:15" ht="21" thickBot="1">
      <c r="A9" s="184" t="s">
        <v>360</v>
      </c>
      <c r="B9" s="209"/>
      <c r="C9" s="185"/>
      <c r="M9" s="534"/>
      <c r="N9" s="518" t="s">
        <v>481</v>
      </c>
      <c r="O9" s="519" t="s">
        <v>486</v>
      </c>
    </row>
    <row r="10" spans="1:15" ht="17" thickBot="1">
      <c r="A10" s="186" t="s">
        <v>121</v>
      </c>
      <c r="C10" s="179"/>
      <c r="J10" s="229"/>
      <c r="M10" s="532" t="s">
        <v>487</v>
      </c>
      <c r="N10" s="518" t="s">
        <v>477</v>
      </c>
      <c r="O10" s="519" t="s">
        <v>488</v>
      </c>
    </row>
    <row r="11" spans="1:15" ht="16" thickBot="1">
      <c r="A11" s="190" t="s">
        <v>62</v>
      </c>
      <c r="B11">
        <v>0.1988</v>
      </c>
      <c r="C11" s="179" t="s">
        <v>122</v>
      </c>
      <c r="M11" s="533"/>
      <c r="N11" s="518" t="s">
        <v>479</v>
      </c>
      <c r="O11" s="519" t="s">
        <v>489</v>
      </c>
    </row>
    <row r="12" spans="1:15" ht="16" thickBot="1">
      <c r="A12" s="190" t="s">
        <v>77</v>
      </c>
      <c r="B12">
        <v>0.89739999999999998</v>
      </c>
      <c r="C12" s="179" t="s">
        <v>123</v>
      </c>
      <c r="M12" s="534"/>
      <c r="N12" s="518" t="s">
        <v>481</v>
      </c>
      <c r="O12" s="519" t="s">
        <v>490</v>
      </c>
    </row>
    <row r="13" spans="1:15" ht="17" thickBot="1">
      <c r="A13" s="186" t="s">
        <v>124</v>
      </c>
      <c r="C13" s="179"/>
      <c r="M13" s="532" t="s">
        <v>491</v>
      </c>
      <c r="N13" s="518" t="s">
        <v>477</v>
      </c>
      <c r="O13" s="519" t="s">
        <v>492</v>
      </c>
    </row>
    <row r="14" spans="1:15" ht="16" thickBot="1">
      <c r="A14" s="190" t="s">
        <v>62</v>
      </c>
      <c r="B14">
        <v>0.17979999999999999</v>
      </c>
      <c r="C14" s="179" t="s">
        <v>122</v>
      </c>
      <c r="M14" s="533"/>
      <c r="N14" s="518" t="s">
        <v>479</v>
      </c>
      <c r="O14" s="519" t="s">
        <v>493</v>
      </c>
    </row>
    <row r="15" spans="1:15" ht="16" thickBot="1">
      <c r="A15" s="195" t="s">
        <v>77</v>
      </c>
      <c r="B15" s="37">
        <v>0.72450000000000003</v>
      </c>
      <c r="C15" s="38" t="s">
        <v>123</v>
      </c>
      <c r="H15" s="229">
        <f>'Cooler RTD Cider'!C4</f>
        <v>0</v>
      </c>
      <c r="M15" s="534"/>
      <c r="N15" s="518" t="s">
        <v>481</v>
      </c>
      <c r="O15" s="519" t="s">
        <v>494</v>
      </c>
    </row>
    <row r="16" spans="1:15" ht="16" thickBot="1">
      <c r="A16" s="71"/>
      <c r="B16" s="126"/>
      <c r="H16">
        <f>'Cooler RTD Cider'!C13</f>
        <v>0</v>
      </c>
      <c r="M16" s="532" t="s">
        <v>495</v>
      </c>
      <c r="N16" s="518" t="s">
        <v>496</v>
      </c>
      <c r="O16" s="519" t="s">
        <v>497</v>
      </c>
    </row>
    <row r="17" spans="1:15" ht="21" thickBot="1">
      <c r="A17" s="184" t="s">
        <v>30</v>
      </c>
      <c r="B17" s="469" t="s">
        <v>354</v>
      </c>
      <c r="C17" s="185"/>
      <c r="E17" s="528" t="s">
        <v>125</v>
      </c>
      <c r="F17" s="529"/>
      <c r="G17" s="229" t="s">
        <v>98</v>
      </c>
      <c r="M17" s="533"/>
      <c r="N17" s="518" t="s">
        <v>498</v>
      </c>
      <c r="O17" s="519" t="s">
        <v>499</v>
      </c>
    </row>
    <row r="18" spans="1:15" ht="17" thickBot="1">
      <c r="A18" s="186" t="s">
        <v>2</v>
      </c>
      <c r="C18" s="179"/>
      <c r="E18" s="478" t="s">
        <v>363</v>
      </c>
      <c r="F18" s="234">
        <f>IF(AND('Cooler RTD Cider'!C13&lt;=7%),B27,B28)</f>
        <v>0.35099999999999998</v>
      </c>
      <c r="G18" s="229">
        <v>0</v>
      </c>
      <c r="J18" s="229"/>
      <c r="M18" s="533"/>
      <c r="N18" s="518" t="s">
        <v>500</v>
      </c>
      <c r="O18" s="519" t="s">
        <v>501</v>
      </c>
    </row>
    <row r="19" spans="1:15">
      <c r="A19" s="210" t="s">
        <v>126</v>
      </c>
      <c r="B19" s="470" t="s">
        <v>353</v>
      </c>
      <c r="C19" s="484" t="s">
        <v>112</v>
      </c>
      <c r="E19" s="180" t="s">
        <v>361</v>
      </c>
      <c r="F19" s="234">
        <f>IF(AND(E19=H15,H16&lt;=7%),B27,B28)</f>
        <v>13.84</v>
      </c>
      <c r="G19" s="229">
        <v>0</v>
      </c>
      <c r="H19" s="190"/>
      <c r="M19" s="535"/>
      <c r="N19" s="520" t="s">
        <v>502</v>
      </c>
      <c r="O19" s="521" t="s">
        <v>503</v>
      </c>
    </row>
    <row r="20" spans="1:15">
      <c r="A20" s="190" t="s">
        <v>127</v>
      </c>
      <c r="B20" s="471"/>
      <c r="C20" s="485">
        <v>2.1999999999999999E-2</v>
      </c>
      <c r="E20" s="478" t="s">
        <v>362</v>
      </c>
      <c r="F20" s="234">
        <f>IF(('Cooler RTD Cider'!C6="Domestic"),0,IF(AND('Cooler RTD Cider'!C13&lt;=7%),Rates!C22,Rates!C23))</f>
        <v>0.35099999999999998</v>
      </c>
      <c r="G20" s="229">
        <v>0</v>
      </c>
      <c r="H20" s="190"/>
    </row>
    <row r="21" spans="1:15">
      <c r="A21" s="190"/>
      <c r="B21" s="471"/>
      <c r="C21" s="485"/>
      <c r="E21" s="478" t="s">
        <v>355</v>
      </c>
      <c r="F21" s="234">
        <f>C23</f>
        <v>0.73</v>
      </c>
      <c r="G21" s="229">
        <v>0</v>
      </c>
      <c r="H21" s="190"/>
    </row>
    <row r="22" spans="1:15">
      <c r="A22" s="190" t="s">
        <v>128</v>
      </c>
      <c r="B22" s="471"/>
      <c r="C22" s="485">
        <v>0.35099999999999998</v>
      </c>
      <c r="E22" s="180" t="s">
        <v>59</v>
      </c>
      <c r="F22" s="234">
        <f>IF(('Cooler RTD Cider'!C6="Domestic"),0,IF(AND('Cooler RTD Cider'!C13&lt;=7%),Rates!C22,Rates!C23))</f>
        <v>0.35099999999999998</v>
      </c>
      <c r="G22" s="229">
        <v>0</v>
      </c>
      <c r="H22" s="190"/>
    </row>
    <row r="23" spans="1:15">
      <c r="A23" s="190" t="s">
        <v>129</v>
      </c>
      <c r="B23" s="471"/>
      <c r="C23" s="485">
        <v>0.73</v>
      </c>
      <c r="E23" s="180" t="s">
        <v>130</v>
      </c>
      <c r="F23" s="234">
        <f>IF(('Cooler RTD Cider'!C6="Domestic"),0,IF(AND('Cooler RTD Cider'!C13&lt;=7%),Rates!C22,Rates!C23))</f>
        <v>0.35099999999999998</v>
      </c>
      <c r="G23" s="229">
        <v>0</v>
      </c>
    </row>
    <row r="24" spans="1:15">
      <c r="A24" s="211"/>
      <c r="B24" s="471"/>
      <c r="C24" s="472"/>
      <c r="E24" s="180" t="s">
        <v>131</v>
      </c>
      <c r="F24" s="234">
        <f>IF(AND(Spirits!C13&lt;=7%),B27,B28)</f>
        <v>13.84</v>
      </c>
      <c r="G24" s="229">
        <v>0</v>
      </c>
    </row>
    <row r="25" spans="1:15" ht="16.5">
      <c r="A25" s="186" t="s">
        <v>132</v>
      </c>
      <c r="B25" s="471"/>
      <c r="C25" s="472"/>
      <c r="E25" s="180" t="s">
        <v>133</v>
      </c>
      <c r="F25" s="234">
        <f>IF(AND(Spirits!C13&lt;=7%),B27,B28)</f>
        <v>13.84</v>
      </c>
      <c r="G25" s="229">
        <v>0</v>
      </c>
    </row>
    <row r="26" spans="1:15">
      <c r="A26" s="210" t="s">
        <v>126</v>
      </c>
      <c r="B26" s="470" t="s">
        <v>353</v>
      </c>
      <c r="C26" s="473" t="s">
        <v>112</v>
      </c>
      <c r="E26" s="180" t="s">
        <v>51</v>
      </c>
      <c r="F26" s="234">
        <f>IF(AND(Spirits!C13&lt;=7%),B27,B28)</f>
        <v>13.84</v>
      </c>
      <c r="G26" s="229">
        <v>0</v>
      </c>
    </row>
    <row r="27" spans="1:15" ht="16" thickBot="1">
      <c r="A27" s="190" t="s">
        <v>134</v>
      </c>
      <c r="B27" s="471">
        <v>0.35099999999999998</v>
      </c>
      <c r="C27" s="474"/>
      <c r="E27" s="181" t="s">
        <v>135</v>
      </c>
      <c r="F27" s="235">
        <f>IF(AND(Spirits!C13&lt;=7%),B27,B28)</f>
        <v>13.84</v>
      </c>
      <c r="G27" s="229">
        <v>0</v>
      </c>
    </row>
    <row r="28" spans="1:15">
      <c r="A28" s="190" t="s">
        <v>136</v>
      </c>
      <c r="B28" s="471">
        <v>13.84</v>
      </c>
      <c r="C28" s="474"/>
    </row>
    <row r="29" spans="1:15">
      <c r="A29" s="190" t="s">
        <v>469</v>
      </c>
      <c r="B29" s="471">
        <v>0</v>
      </c>
      <c r="C29" s="474"/>
    </row>
    <row r="30" spans="1:15">
      <c r="B30" s="471"/>
      <c r="C30" s="474"/>
    </row>
    <row r="31" spans="1:15" ht="16.5">
      <c r="A31" s="186" t="s">
        <v>114</v>
      </c>
      <c r="B31" s="471"/>
      <c r="C31" s="474"/>
    </row>
    <row r="32" spans="1:15">
      <c r="A32" s="190" t="s">
        <v>108</v>
      </c>
      <c r="B32" s="471">
        <v>0</v>
      </c>
      <c r="C32" s="474"/>
    </row>
    <row r="33" spans="1:3">
      <c r="A33" s="190" t="s">
        <v>137</v>
      </c>
      <c r="B33" s="468">
        <v>0.12280000000000001</v>
      </c>
      <c r="C33" s="474"/>
    </row>
    <row r="34" spans="1:3">
      <c r="A34" s="190"/>
      <c r="B34" s="475"/>
      <c r="C34" s="474"/>
    </row>
    <row r="35" spans="1:3" ht="16.5">
      <c r="A35" s="186" t="s">
        <v>114</v>
      </c>
      <c r="B35" s="471"/>
      <c r="C35" s="472"/>
    </row>
    <row r="36" spans="1:3">
      <c r="A36" s="210" t="s">
        <v>138</v>
      </c>
      <c r="B36" s="470" t="s">
        <v>353</v>
      </c>
      <c r="C36" s="473"/>
    </row>
    <row r="37" spans="1:3">
      <c r="A37" s="190" t="s">
        <v>139</v>
      </c>
      <c r="B37" s="471">
        <v>3.0670000000000002</v>
      </c>
      <c r="C37" s="474"/>
    </row>
    <row r="38" spans="1:3">
      <c r="A38" s="190" t="s">
        <v>140</v>
      </c>
      <c r="B38" s="471">
        <v>18.48</v>
      </c>
      <c r="C38" s="474"/>
    </row>
    <row r="39" spans="1:3" ht="16" thickBot="1">
      <c r="A39" s="195" t="s">
        <v>141</v>
      </c>
      <c r="B39" s="476">
        <v>36.950000000000003</v>
      </c>
      <c r="C39" s="477"/>
    </row>
    <row r="40" spans="1:3">
      <c r="A40" s="71"/>
      <c r="B40" s="126"/>
      <c r="C40" s="72"/>
    </row>
    <row r="41" spans="1:3" ht="16" thickBot="1">
      <c r="A41" s="71"/>
      <c r="B41" s="126"/>
      <c r="C41" s="72"/>
    </row>
    <row r="42" spans="1:3" ht="20.5">
      <c r="A42" s="184" t="s">
        <v>33</v>
      </c>
      <c r="B42" s="185"/>
    </row>
    <row r="43" spans="1:3" ht="16.5">
      <c r="A43" s="186" t="s">
        <v>142</v>
      </c>
      <c r="B43" s="207"/>
    </row>
    <row r="44" spans="1:3">
      <c r="A44" s="190" t="s">
        <v>368</v>
      </c>
      <c r="B44" s="207">
        <v>1.62</v>
      </c>
    </row>
    <row r="45" spans="1:3">
      <c r="A45" s="190" t="s">
        <v>367</v>
      </c>
      <c r="B45" s="207">
        <v>1.62</v>
      </c>
    </row>
    <row r="46" spans="1:3">
      <c r="A46" s="190" t="s">
        <v>143</v>
      </c>
      <c r="B46" s="207">
        <v>1.62</v>
      </c>
    </row>
    <row r="47" spans="1:3">
      <c r="A47" s="190" t="s">
        <v>144</v>
      </c>
      <c r="B47" s="207">
        <v>1.62</v>
      </c>
    </row>
    <row r="48" spans="1:3">
      <c r="A48" s="190" t="s">
        <v>145</v>
      </c>
      <c r="B48" s="207">
        <v>1.62</v>
      </c>
    </row>
    <row r="49" spans="1:3">
      <c r="A49" s="190" t="s">
        <v>146</v>
      </c>
      <c r="B49" s="207">
        <v>1.62</v>
      </c>
    </row>
    <row r="50" spans="1:3" ht="16" thickBot="1">
      <c r="A50" s="190" t="s">
        <v>366</v>
      </c>
      <c r="B50" s="208">
        <v>0</v>
      </c>
    </row>
    <row r="51" spans="1:3" ht="16" thickBot="1"/>
    <row r="52" spans="1:3" ht="20.5">
      <c r="A52" s="184" t="s">
        <v>36</v>
      </c>
      <c r="B52" s="206"/>
    </row>
    <row r="53" spans="1:3">
      <c r="A53" s="190" t="s">
        <v>2</v>
      </c>
      <c r="B53" s="207">
        <v>0.28999999999999998</v>
      </c>
    </row>
    <row r="54" spans="1:3">
      <c r="A54" s="190" t="s">
        <v>132</v>
      </c>
      <c r="B54" s="207">
        <v>0.38</v>
      </c>
    </row>
    <row r="55" spans="1:3" ht="16" thickBot="1">
      <c r="A55" s="195" t="s">
        <v>147</v>
      </c>
      <c r="B55" s="208">
        <v>0.28000000000000003</v>
      </c>
    </row>
    <row r="56" spans="1:3" ht="16" thickBot="1"/>
    <row r="57" spans="1:3" ht="20.5">
      <c r="A57" s="184" t="s">
        <v>359</v>
      </c>
      <c r="B57" s="185"/>
    </row>
    <row r="58" spans="1:3">
      <c r="A58" s="190" t="s">
        <v>368</v>
      </c>
      <c r="B58" s="204">
        <v>0.71499999999999997</v>
      </c>
    </row>
    <row r="59" spans="1:3">
      <c r="A59" s="190" t="s">
        <v>367</v>
      </c>
      <c r="B59" s="204">
        <v>0.64600000000000002</v>
      </c>
      <c r="C59" t="s">
        <v>358</v>
      </c>
    </row>
    <row r="60" spans="1:3">
      <c r="A60" s="190" t="s">
        <v>143</v>
      </c>
      <c r="B60" s="204">
        <v>0.69299999999999995</v>
      </c>
    </row>
    <row r="61" spans="1:3">
      <c r="A61" s="190" t="s">
        <v>144</v>
      </c>
      <c r="B61" s="204">
        <v>1.1399999999999999</v>
      </c>
    </row>
    <row r="62" spans="1:3">
      <c r="A62" s="190" t="s">
        <v>145</v>
      </c>
      <c r="B62" s="204">
        <v>0.71499999999999997</v>
      </c>
    </row>
    <row r="63" spans="1:3">
      <c r="A63" s="190" t="s">
        <v>146</v>
      </c>
      <c r="B63" s="204">
        <v>0.71499999999999997</v>
      </c>
    </row>
    <row r="64" spans="1:3">
      <c r="A64" s="190" t="s">
        <v>366</v>
      </c>
      <c r="B64" s="204">
        <v>1.1399999999999999</v>
      </c>
    </row>
    <row r="65" spans="1:5">
      <c r="A65" s="190" t="s">
        <v>132</v>
      </c>
      <c r="B65" s="204">
        <v>1.3969999999999998</v>
      </c>
    </row>
    <row r="66" spans="1:5">
      <c r="A66" s="190" t="s">
        <v>363</v>
      </c>
      <c r="B66" s="204">
        <v>0.96699999999999997</v>
      </c>
    </row>
    <row r="67" spans="1:5">
      <c r="A67" s="190" t="s">
        <v>361</v>
      </c>
      <c r="B67" s="204">
        <v>0.48</v>
      </c>
    </row>
    <row r="68" spans="1:5">
      <c r="A68" s="190" t="s">
        <v>362</v>
      </c>
      <c r="B68" s="204">
        <v>0.48</v>
      </c>
      <c r="C68" t="s">
        <v>356</v>
      </c>
      <c r="E68" t="s">
        <v>365</v>
      </c>
    </row>
    <row r="69" spans="1:5">
      <c r="A69" s="190" t="s">
        <v>355</v>
      </c>
      <c r="B69" s="204">
        <v>0.60599999999999998</v>
      </c>
      <c r="C69" t="s">
        <v>364</v>
      </c>
    </row>
    <row r="70" spans="1:5">
      <c r="A70" s="190" t="s">
        <v>59</v>
      </c>
      <c r="B70" s="204">
        <v>0.32</v>
      </c>
      <c r="C70" t="s">
        <v>357</v>
      </c>
    </row>
    <row r="71" spans="1:5">
      <c r="A71" s="190" t="s">
        <v>130</v>
      </c>
      <c r="B71" s="204">
        <v>0.32</v>
      </c>
    </row>
    <row r="72" spans="1:5">
      <c r="A72" s="190" t="s">
        <v>131</v>
      </c>
      <c r="B72" s="204">
        <v>1.397</v>
      </c>
    </row>
    <row r="73" spans="1:5">
      <c r="A73" s="190" t="s">
        <v>133</v>
      </c>
      <c r="B73" s="204">
        <v>1.397</v>
      </c>
    </row>
    <row r="74" spans="1:5">
      <c r="A74" s="190" t="s">
        <v>51</v>
      </c>
      <c r="B74" s="204">
        <v>1.397</v>
      </c>
    </row>
    <row r="75" spans="1:5" ht="16" thickBot="1">
      <c r="A75" s="195" t="s">
        <v>178</v>
      </c>
      <c r="B75" s="205">
        <v>1.397</v>
      </c>
    </row>
    <row r="76" spans="1:5" ht="16" thickBot="1">
      <c r="A76" s="71"/>
      <c r="B76" s="74"/>
    </row>
    <row r="77" spans="1:5" ht="21" thickBot="1">
      <c r="A77" s="201" t="s">
        <v>19</v>
      </c>
      <c r="B77" s="203">
        <v>8.9300000000000004E-2</v>
      </c>
    </row>
    <row r="78" spans="1:5" ht="16" thickBot="1"/>
    <row r="79" spans="1:5" ht="21" thickBot="1">
      <c r="A79" s="201" t="s">
        <v>21</v>
      </c>
      <c r="B79" s="202">
        <v>0.13</v>
      </c>
    </row>
    <row r="80" spans="1:5" ht="16" thickBot="1"/>
    <row r="81" spans="1:7" ht="20.5">
      <c r="A81" s="184" t="s">
        <v>42</v>
      </c>
      <c r="B81" s="185"/>
    </row>
    <row r="82" spans="1:7">
      <c r="A82" s="190" t="s">
        <v>148</v>
      </c>
      <c r="B82" s="199">
        <v>0</v>
      </c>
    </row>
    <row r="83" spans="1:7">
      <c r="A83" s="190" t="s">
        <v>149</v>
      </c>
      <c r="B83" s="199">
        <v>0.1</v>
      </c>
    </row>
    <row r="84" spans="1:7">
      <c r="A84" s="190" t="s">
        <v>150</v>
      </c>
      <c r="B84" s="199">
        <v>0.2</v>
      </c>
    </row>
    <row r="85" spans="1:7">
      <c r="A85" s="190" t="s">
        <v>151</v>
      </c>
      <c r="B85" s="199">
        <v>0.1</v>
      </c>
    </row>
    <row r="86" spans="1:7">
      <c r="A86" s="190" t="s">
        <v>152</v>
      </c>
      <c r="B86" s="199">
        <v>0.2</v>
      </c>
    </row>
    <row r="87" spans="1:7" ht="16" thickBot="1">
      <c r="A87" s="195" t="s">
        <v>153</v>
      </c>
      <c r="B87" s="200">
        <v>20</v>
      </c>
    </row>
    <row r="88" spans="1:7" ht="16" thickBot="1"/>
    <row r="89" spans="1:7" ht="20.5">
      <c r="A89" s="184" t="s">
        <v>154</v>
      </c>
      <c r="B89" s="185"/>
    </row>
    <row r="90" spans="1:7">
      <c r="A90" s="190" t="s">
        <v>84</v>
      </c>
      <c r="B90" s="194">
        <v>0</v>
      </c>
    </row>
    <row r="91" spans="1:7" ht="16" thickBot="1">
      <c r="A91" s="195" t="s">
        <v>155</v>
      </c>
      <c r="B91" s="196">
        <v>0.1</v>
      </c>
    </row>
    <row r="92" spans="1:7" ht="16" thickBot="1"/>
    <row r="93" spans="1:7" ht="21" thickBot="1">
      <c r="A93" s="184" t="s">
        <v>5</v>
      </c>
      <c r="B93" s="197" t="s">
        <v>61</v>
      </c>
      <c r="C93" s="197" t="s">
        <v>64</v>
      </c>
      <c r="D93" s="197" t="s">
        <v>156</v>
      </c>
      <c r="E93" s="198" t="s">
        <v>157</v>
      </c>
      <c r="F93" s="445" t="s">
        <v>329</v>
      </c>
      <c r="G93" s="445" t="s">
        <v>340</v>
      </c>
    </row>
    <row r="94" spans="1:7">
      <c r="A94" s="190" t="s">
        <v>6</v>
      </c>
      <c r="B94" t="s">
        <v>62</v>
      </c>
      <c r="C94" t="s">
        <v>82</v>
      </c>
      <c r="D94" t="s">
        <v>158</v>
      </c>
      <c r="E94" s="179" t="s">
        <v>81</v>
      </c>
      <c r="F94" s="450" t="s">
        <v>80</v>
      </c>
      <c r="G94" s="451" t="s">
        <v>98</v>
      </c>
    </row>
    <row r="95" spans="1:7" ht="16" thickBot="1">
      <c r="A95" s="195" t="s">
        <v>60</v>
      </c>
      <c r="B95" s="37" t="s">
        <v>77</v>
      </c>
      <c r="C95" s="37" t="s">
        <v>65</v>
      </c>
      <c r="D95" s="37" t="s">
        <v>79</v>
      </c>
      <c r="E95" s="38" t="s">
        <v>110</v>
      </c>
      <c r="F95" s="37" t="s">
        <v>330</v>
      </c>
      <c r="G95" s="452" t="s">
        <v>341</v>
      </c>
    </row>
    <row r="96" spans="1:7" ht="16" thickBot="1">
      <c r="B96" s="73"/>
      <c r="D96" s="73"/>
      <c r="E96" s="73"/>
      <c r="F96" s="73"/>
      <c r="G96" s="453" t="s">
        <v>53</v>
      </c>
    </row>
    <row r="97" spans="1:6" ht="20.5">
      <c r="A97" s="184" t="s">
        <v>29</v>
      </c>
      <c r="B97" s="185"/>
      <c r="C97" s="73"/>
      <c r="D97" s="73"/>
      <c r="E97" s="73"/>
      <c r="F97" s="73"/>
    </row>
    <row r="98" spans="1:6" ht="16.5">
      <c r="A98" s="186" t="s">
        <v>159</v>
      </c>
      <c r="B98" s="187"/>
      <c r="C98" s="73"/>
      <c r="D98" s="73"/>
      <c r="E98" s="73"/>
      <c r="F98" s="73"/>
    </row>
    <row r="99" spans="1:6">
      <c r="A99" s="188" t="s">
        <v>160</v>
      </c>
      <c r="B99" s="189">
        <v>1.8700000000000001E-2</v>
      </c>
      <c r="C99" s="73"/>
      <c r="D99" s="73"/>
      <c r="E99" s="73"/>
      <c r="F99" s="73"/>
    </row>
    <row r="100" spans="1:6">
      <c r="A100" s="188"/>
      <c r="B100" s="187">
        <v>2.75E-2</v>
      </c>
      <c r="C100" s="73"/>
      <c r="D100" s="73"/>
      <c r="E100" s="73"/>
      <c r="F100" s="73"/>
    </row>
    <row r="101" spans="1:6">
      <c r="A101" s="188"/>
      <c r="B101" s="187">
        <v>2.8199999999999999E-2</v>
      </c>
      <c r="C101" s="73"/>
      <c r="D101" s="73"/>
      <c r="E101" s="73"/>
      <c r="F101" s="73"/>
    </row>
    <row r="102" spans="1:6">
      <c r="A102" s="188" t="s">
        <v>161</v>
      </c>
      <c r="B102" s="189">
        <v>4.6800000000000001E-2</v>
      </c>
      <c r="C102" s="73"/>
      <c r="D102" s="73"/>
      <c r="E102" s="73"/>
      <c r="F102" s="73"/>
    </row>
    <row r="103" spans="1:6">
      <c r="A103" s="188"/>
      <c r="B103" s="187">
        <v>7.0400000000000004E-2</v>
      </c>
      <c r="C103" s="73"/>
      <c r="D103" s="73"/>
      <c r="E103" s="73"/>
      <c r="F103" s="73"/>
    </row>
    <row r="104" spans="1:6">
      <c r="A104" s="188"/>
      <c r="B104" s="187">
        <v>7.7799999999999994E-2</v>
      </c>
      <c r="C104" s="73"/>
      <c r="D104" s="73"/>
      <c r="E104" s="73"/>
      <c r="F104" s="73"/>
    </row>
    <row r="105" spans="1:6">
      <c r="A105" s="188"/>
      <c r="B105" s="187">
        <v>8.5199999999999998E-2</v>
      </c>
      <c r="C105" s="73"/>
      <c r="D105" s="73"/>
      <c r="E105" s="73"/>
      <c r="F105" s="73"/>
    </row>
    <row r="106" spans="1:6">
      <c r="A106" s="188"/>
      <c r="B106" s="187">
        <v>9.2499999999999999E-2</v>
      </c>
      <c r="C106" s="73"/>
      <c r="D106" s="73"/>
      <c r="E106" s="73"/>
      <c r="F106" s="73"/>
    </row>
    <row r="107" spans="1:6">
      <c r="A107" s="188"/>
      <c r="B107" s="187">
        <v>0.12280000000000001</v>
      </c>
      <c r="C107" s="73"/>
      <c r="D107" s="73"/>
      <c r="E107" s="73"/>
      <c r="F107" s="73"/>
    </row>
    <row r="108" spans="1:6">
      <c r="A108" s="188" t="s">
        <v>162</v>
      </c>
      <c r="B108" s="189">
        <v>0</v>
      </c>
      <c r="C108" s="73"/>
      <c r="D108" s="73"/>
      <c r="E108" s="73"/>
      <c r="F108" s="73"/>
    </row>
    <row r="109" spans="1:6" ht="16.5">
      <c r="A109" s="186" t="s">
        <v>163</v>
      </c>
      <c r="B109" s="187"/>
      <c r="C109" s="73"/>
      <c r="D109" s="73"/>
      <c r="E109" s="73"/>
      <c r="F109" s="73"/>
    </row>
    <row r="110" spans="1:6">
      <c r="A110" s="188" t="s">
        <v>164</v>
      </c>
      <c r="B110" s="187">
        <v>2.8199999999999999E-2</v>
      </c>
      <c r="C110" s="73"/>
      <c r="D110" s="73"/>
      <c r="E110" s="73"/>
      <c r="F110" s="73"/>
    </row>
    <row r="111" spans="1:6">
      <c r="A111" s="188" t="s">
        <v>165</v>
      </c>
      <c r="B111" s="187">
        <v>7.0400000000000004E-2</v>
      </c>
      <c r="C111" s="73"/>
      <c r="D111" s="73"/>
      <c r="E111" s="73"/>
      <c r="F111" s="73"/>
    </row>
    <row r="112" spans="1:6">
      <c r="A112" s="188" t="s">
        <v>166</v>
      </c>
      <c r="B112" s="187">
        <v>7.7799999999999994E-2</v>
      </c>
      <c r="C112" s="73"/>
      <c r="D112" s="73"/>
      <c r="E112" s="73"/>
      <c r="F112" s="73"/>
    </row>
    <row r="113" spans="1:6">
      <c r="A113" s="188" t="s">
        <v>167</v>
      </c>
      <c r="B113" s="187">
        <v>8.5199999999999998E-2</v>
      </c>
      <c r="C113" s="73"/>
      <c r="D113" s="73"/>
      <c r="E113" s="73"/>
      <c r="F113" s="73"/>
    </row>
    <row r="114" spans="1:6">
      <c r="A114" s="188" t="s">
        <v>168</v>
      </c>
      <c r="B114" s="187">
        <v>9.2499999999999999E-2</v>
      </c>
      <c r="C114" s="73"/>
      <c r="D114" s="73"/>
      <c r="E114" s="73"/>
      <c r="F114" s="73"/>
    </row>
    <row r="115" spans="1:6">
      <c r="A115" s="188" t="s">
        <v>169</v>
      </c>
      <c r="B115" s="187">
        <v>0.1</v>
      </c>
      <c r="C115" s="73"/>
      <c r="D115" s="73"/>
      <c r="E115" s="73"/>
      <c r="F115" s="73"/>
    </row>
    <row r="116" spans="1:6">
      <c r="A116" s="188" t="s">
        <v>170</v>
      </c>
      <c r="B116" s="187">
        <v>0.10730000000000001</v>
      </c>
      <c r="C116" s="73"/>
      <c r="D116" s="73"/>
      <c r="E116" s="73"/>
      <c r="F116" s="73"/>
    </row>
    <row r="117" spans="1:6">
      <c r="A117" s="188" t="s">
        <v>171</v>
      </c>
      <c r="B117" s="187">
        <v>0.1148</v>
      </c>
      <c r="C117" s="73"/>
      <c r="D117" s="73"/>
      <c r="E117" s="73"/>
      <c r="F117" s="73"/>
    </row>
    <row r="118" spans="1:6">
      <c r="A118" s="188" t="s">
        <v>172</v>
      </c>
      <c r="B118" s="187">
        <v>0.1221</v>
      </c>
      <c r="C118" s="73"/>
      <c r="D118" s="73"/>
      <c r="E118" s="73"/>
      <c r="F118" s="73"/>
    </row>
    <row r="119" spans="1:6">
      <c r="A119" s="188" t="s">
        <v>173</v>
      </c>
      <c r="B119" s="187">
        <v>0.1295</v>
      </c>
      <c r="C119" s="73"/>
      <c r="D119" s="73"/>
      <c r="E119" s="73"/>
      <c r="F119" s="73"/>
    </row>
    <row r="120" spans="1:6">
      <c r="A120" s="188" t="s">
        <v>174</v>
      </c>
      <c r="B120" s="187">
        <v>0.1295</v>
      </c>
      <c r="C120" s="73"/>
      <c r="D120" s="73"/>
      <c r="E120" s="73"/>
      <c r="F120" s="73"/>
    </row>
    <row r="121" spans="1:6">
      <c r="A121" s="190"/>
      <c r="B121" s="179"/>
      <c r="C121" s="73"/>
      <c r="D121" s="73"/>
      <c r="E121" s="73"/>
      <c r="F121" s="73"/>
    </row>
    <row r="122" spans="1:6" ht="16.5">
      <c r="A122" s="186" t="s">
        <v>175</v>
      </c>
      <c r="B122" s="191" t="s">
        <v>176</v>
      </c>
      <c r="C122" s="73"/>
      <c r="D122" s="73"/>
      <c r="E122" s="73"/>
      <c r="F122" s="73"/>
    </row>
    <row r="123" spans="1:6">
      <c r="A123" s="190" t="s">
        <v>98</v>
      </c>
      <c r="B123" s="187">
        <v>0</v>
      </c>
      <c r="C123" s="73"/>
      <c r="D123" s="73"/>
      <c r="E123" s="73"/>
      <c r="F123" s="73"/>
    </row>
    <row r="124" spans="1:6">
      <c r="A124" s="190" t="s">
        <v>177</v>
      </c>
      <c r="B124" s="187">
        <v>0</v>
      </c>
      <c r="C124" s="73"/>
      <c r="D124" s="73"/>
      <c r="E124" s="73"/>
      <c r="F124" s="73"/>
    </row>
    <row r="125" spans="1:6">
      <c r="A125" s="190" t="s">
        <v>133</v>
      </c>
      <c r="B125" s="179">
        <v>4.9200000000000001E-2</v>
      </c>
      <c r="C125" s="73"/>
      <c r="D125" s="73"/>
      <c r="E125" s="73"/>
      <c r="F125" s="73"/>
    </row>
    <row r="126" spans="1:6">
      <c r="A126" s="190" t="s">
        <v>178</v>
      </c>
      <c r="B126" s="179">
        <v>0.12280000000000001</v>
      </c>
      <c r="C126" s="73"/>
      <c r="D126" s="73"/>
      <c r="E126" s="73"/>
      <c r="F126" s="73"/>
    </row>
    <row r="127" spans="1:6">
      <c r="A127" s="190" t="s">
        <v>51</v>
      </c>
      <c r="B127" s="179">
        <v>0.24560000000000001</v>
      </c>
      <c r="C127" s="73"/>
      <c r="D127" s="73"/>
      <c r="E127" s="73"/>
      <c r="F127" s="73"/>
    </row>
    <row r="128" spans="1:6">
      <c r="A128" s="190" t="s">
        <v>131</v>
      </c>
      <c r="B128" s="187">
        <v>0</v>
      </c>
      <c r="C128" s="73"/>
      <c r="D128" s="73"/>
      <c r="E128" s="73"/>
      <c r="F128" s="73"/>
    </row>
    <row r="129" spans="1:15">
      <c r="A129" s="190"/>
      <c r="B129" s="187"/>
      <c r="C129" s="73"/>
      <c r="D129" s="73"/>
      <c r="E129" s="73"/>
      <c r="F129" s="73"/>
    </row>
    <row r="130" spans="1:15" ht="16.5">
      <c r="A130" s="186" t="s">
        <v>59</v>
      </c>
      <c r="B130" s="187">
        <v>0.03</v>
      </c>
      <c r="C130" s="73"/>
      <c r="D130" s="73"/>
      <c r="E130" s="73"/>
      <c r="F130" s="73"/>
    </row>
    <row r="131" spans="1:15" ht="16.5">
      <c r="A131" s="186" t="s">
        <v>130</v>
      </c>
      <c r="B131" s="187">
        <v>0.28160000000000002</v>
      </c>
      <c r="C131" s="73"/>
      <c r="D131" s="73"/>
      <c r="E131" s="73"/>
      <c r="F131" s="73"/>
    </row>
    <row r="132" spans="1:15" ht="17" thickBot="1">
      <c r="A132" s="192" t="s">
        <v>179</v>
      </c>
      <c r="B132" s="193">
        <v>0.12280000000000001</v>
      </c>
      <c r="C132" s="73"/>
      <c r="D132" s="73"/>
      <c r="E132" s="73"/>
      <c r="F132" s="73"/>
    </row>
    <row r="133" spans="1:15" ht="16.5">
      <c r="A133" s="70"/>
      <c r="B133" s="73"/>
      <c r="C133" s="73"/>
      <c r="D133" s="73"/>
      <c r="E133" s="73"/>
      <c r="F133" s="73"/>
    </row>
    <row r="134" spans="1:15" s="183" customFormat="1" ht="21" thickBot="1">
      <c r="A134" s="182" t="s">
        <v>180</v>
      </c>
      <c r="F134" s="236" t="s">
        <v>7</v>
      </c>
      <c r="G134" s="237"/>
      <c r="H134" s="237"/>
      <c r="I134" s="237"/>
      <c r="J134" s="238"/>
      <c r="M134" s="522"/>
      <c r="N134" s="522"/>
      <c r="O134" s="522"/>
    </row>
    <row r="135" spans="1:15" ht="16" thickBot="1">
      <c r="A135" s="71" t="s">
        <v>2</v>
      </c>
      <c r="B135" s="107" t="s">
        <v>98</v>
      </c>
      <c r="D135" s="108">
        <v>0</v>
      </c>
      <c r="F135" s="60" t="s">
        <v>181</v>
      </c>
      <c r="G135" s="61" t="s">
        <v>182</v>
      </c>
      <c r="H135" s="61" t="s">
        <v>183</v>
      </c>
      <c r="I135" s="61" t="s">
        <v>184</v>
      </c>
      <c r="J135" s="110" t="s">
        <v>185</v>
      </c>
    </row>
    <row r="136" spans="1:15">
      <c r="A136" s="106"/>
      <c r="B136" s="107" t="s">
        <v>186</v>
      </c>
      <c r="D136" s="108">
        <v>0.2616</v>
      </c>
      <c r="F136" s="478" t="s">
        <v>368</v>
      </c>
      <c r="G136" s="240" t="s">
        <v>60</v>
      </c>
      <c r="H136" s="240" t="s">
        <v>186</v>
      </c>
      <c r="I136" s="240" t="s">
        <v>369</v>
      </c>
      <c r="J136" s="241">
        <f>IF(Wine!C13&lt;=13.7,B99,IF(Wine!C13&lt;=14.9,B102,IF(Wine!C13&gt;14.9,0)))</f>
        <v>1.8700000000000001E-2</v>
      </c>
    </row>
    <row r="137" spans="1:15">
      <c r="A137" s="106"/>
      <c r="B137" s="107" t="s">
        <v>88</v>
      </c>
      <c r="D137" s="108">
        <v>0.379</v>
      </c>
      <c r="F137" s="242" t="s">
        <v>146</v>
      </c>
      <c r="G137" s="243" t="s">
        <v>60</v>
      </c>
      <c r="H137" s="243" t="s">
        <v>186</v>
      </c>
      <c r="I137" s="243" t="s">
        <v>211</v>
      </c>
      <c r="J137" s="244">
        <v>0</v>
      </c>
    </row>
    <row r="138" spans="1:15">
      <c r="A138" s="106"/>
      <c r="B138" s="107" t="s">
        <v>10</v>
      </c>
      <c r="D138" s="108">
        <v>0.2959</v>
      </c>
      <c r="F138" s="242" t="s">
        <v>145</v>
      </c>
      <c r="G138" s="243" t="s">
        <v>60</v>
      </c>
      <c r="H138" s="243" t="s">
        <v>186</v>
      </c>
      <c r="I138" s="243" t="s">
        <v>212</v>
      </c>
      <c r="J138" s="244">
        <f>IF(Wine!C13&lt;=13.6,B110,IF(Wine!C13&lt;=14.8,B111,IF(Wine!C13&lt;=15.8,B112,IF(Wine!C13&lt;=16.8,B113,IF(Wine!C13&lt;=17.8,B114,IF(Wine!C13&lt;=18.8,B115,IF(Wine!C13&lt;=19.8,B116,IF(Wine!C13&lt;=20.8,B117,IF(Wine!C13&lt;=21.8,B118,IF(Wine!C13&lt;=22.8,B119,IF(Wine!C13&gt;=22.9,B120)))))))))))</f>
        <v>2.8199999999999999E-2</v>
      </c>
    </row>
    <row r="139" spans="1:15">
      <c r="A139" s="106"/>
      <c r="B139" s="107" t="s">
        <v>307</v>
      </c>
      <c r="C139" t="s">
        <v>308</v>
      </c>
      <c r="D139" s="108">
        <v>0</v>
      </c>
      <c r="F139" s="478" t="s">
        <v>367</v>
      </c>
      <c r="G139" s="243" t="s">
        <v>60</v>
      </c>
      <c r="H139" s="243" t="s">
        <v>186</v>
      </c>
      <c r="I139" s="243" t="s">
        <v>370</v>
      </c>
      <c r="J139" s="244">
        <v>0</v>
      </c>
    </row>
    <row r="140" spans="1:15">
      <c r="A140" s="106"/>
      <c r="B140" s="107" t="s">
        <v>53</v>
      </c>
      <c r="D140" s="108">
        <v>0.67530000000000001</v>
      </c>
      <c r="F140" s="242" t="s">
        <v>143</v>
      </c>
      <c r="G140" s="243" t="s">
        <v>60</v>
      </c>
      <c r="H140" s="243" t="s">
        <v>186</v>
      </c>
      <c r="I140" s="243" t="s">
        <v>213</v>
      </c>
      <c r="J140" s="244">
        <v>0</v>
      </c>
    </row>
    <row r="141" spans="1:15">
      <c r="A141" s="106"/>
      <c r="B141" s="107"/>
      <c r="D141" s="108"/>
      <c r="F141" s="245" t="s">
        <v>144</v>
      </c>
      <c r="G141" s="243" t="s">
        <v>60</v>
      </c>
      <c r="H141" s="243" t="s">
        <v>186</v>
      </c>
      <c r="I141" s="243" t="s">
        <v>214</v>
      </c>
      <c r="J141" s="244">
        <v>0</v>
      </c>
    </row>
    <row r="142" spans="1:15" ht="16" thickBot="1">
      <c r="A142" s="71" t="s">
        <v>132</v>
      </c>
      <c r="B142" s="107" t="s">
        <v>98</v>
      </c>
      <c r="D142" s="108">
        <v>0</v>
      </c>
      <c r="F142" s="478" t="s">
        <v>366</v>
      </c>
      <c r="G142" s="243" t="s">
        <v>60</v>
      </c>
      <c r="H142" s="243" t="s">
        <v>186</v>
      </c>
      <c r="I142" s="243" t="s">
        <v>371</v>
      </c>
      <c r="J142" s="244">
        <v>0</v>
      </c>
    </row>
    <row r="143" spans="1:15">
      <c r="A143" s="106"/>
      <c r="B143" s="107" t="s">
        <v>186</v>
      </c>
      <c r="D143" s="108">
        <v>0.29859999999999998</v>
      </c>
      <c r="F143" s="478" t="s">
        <v>368</v>
      </c>
      <c r="G143" s="246" t="s">
        <v>60</v>
      </c>
      <c r="H143" s="246" t="s">
        <v>88</v>
      </c>
      <c r="I143" s="246" t="s">
        <v>372</v>
      </c>
      <c r="J143" s="247">
        <f>IF(Wine!C13&lt;=13.7,B99,IF(Wine!C13&lt;=14.9,B102,IF(Wine!C13&gt;14.9,0)))</f>
        <v>1.8700000000000001E-2</v>
      </c>
    </row>
    <row r="144" spans="1:15">
      <c r="A144" s="106"/>
      <c r="B144" s="107" t="s">
        <v>88</v>
      </c>
      <c r="D144" s="108">
        <v>0.56510000000000005</v>
      </c>
      <c r="F144" s="242" t="s">
        <v>146</v>
      </c>
      <c r="G144" s="246" t="s">
        <v>60</v>
      </c>
      <c r="H144" s="246" t="s">
        <v>88</v>
      </c>
      <c r="I144" s="246" t="s">
        <v>215</v>
      </c>
      <c r="J144" s="248">
        <v>0</v>
      </c>
    </row>
    <row r="145" spans="1:10">
      <c r="A145" s="106"/>
      <c r="B145" s="107" t="s">
        <v>10</v>
      </c>
      <c r="D145" s="108">
        <v>1.7479</v>
      </c>
      <c r="F145" s="242" t="s">
        <v>145</v>
      </c>
      <c r="G145" s="246" t="s">
        <v>60</v>
      </c>
      <c r="H145" s="246" t="s">
        <v>88</v>
      </c>
      <c r="I145" s="246" t="s">
        <v>216</v>
      </c>
      <c r="J145" s="248">
        <f>IF(Wine!C13&lt;=13.6,B110,IF(Wine!C13&lt;=14.8,B111,IF(Wine!C13&lt;=15.8,B112,IF(Wine!C13&lt;=16.8,B113,IF(Wine!C13&lt;=17.8,B114,IF(Wine!C13&lt;=18.8,B115,IF(Wine!C13&lt;=19.8,B116,IF(Wine!C13&lt;=20.8,B117,IF(Wine!C13&lt;=21.8,B118,IF(Wine!C13&lt;=22.8,B119,IF(Wine!C13&gt;=22.9,B120)))))))))))</f>
        <v>2.8199999999999999E-2</v>
      </c>
    </row>
    <row r="146" spans="1:10">
      <c r="A146" s="106"/>
      <c r="B146" s="107" t="s">
        <v>307</v>
      </c>
      <c r="C146" t="s">
        <v>308</v>
      </c>
      <c r="D146" s="108">
        <v>0</v>
      </c>
      <c r="F146" s="478" t="s">
        <v>367</v>
      </c>
      <c r="G146" s="246" t="s">
        <v>60</v>
      </c>
      <c r="H146" s="246" t="s">
        <v>88</v>
      </c>
      <c r="I146" s="246" t="s">
        <v>373</v>
      </c>
      <c r="J146" s="248">
        <v>0</v>
      </c>
    </row>
    <row r="147" spans="1:10">
      <c r="A147" s="106"/>
      <c r="B147" s="107" t="s">
        <v>53</v>
      </c>
      <c r="D147" s="108">
        <v>1.7479</v>
      </c>
      <c r="F147" s="242" t="s">
        <v>143</v>
      </c>
      <c r="G147" s="246" t="s">
        <v>60</v>
      </c>
      <c r="H147" s="246" t="s">
        <v>88</v>
      </c>
      <c r="I147" s="246" t="s">
        <v>217</v>
      </c>
      <c r="J147" s="248">
        <v>0</v>
      </c>
    </row>
    <row r="148" spans="1:10">
      <c r="A148" s="190" t="s">
        <v>362</v>
      </c>
      <c r="B148" s="107" t="s">
        <v>98</v>
      </c>
      <c r="C148" s="107" t="s">
        <v>447</v>
      </c>
      <c r="D148" s="109">
        <v>0</v>
      </c>
      <c r="F148" s="245" t="s">
        <v>144</v>
      </c>
      <c r="G148" s="246" t="s">
        <v>60</v>
      </c>
      <c r="H148" s="246" t="s">
        <v>88</v>
      </c>
      <c r="I148" s="246" t="s">
        <v>218</v>
      </c>
      <c r="J148" s="248">
        <v>0</v>
      </c>
    </row>
    <row r="149" spans="1:10" ht="16" thickBot="1">
      <c r="A149" s="71"/>
      <c r="B149" s="107" t="s">
        <v>186</v>
      </c>
      <c r="C149" s="107" t="s">
        <v>448</v>
      </c>
      <c r="D149" s="109">
        <v>0</v>
      </c>
      <c r="F149" s="478" t="s">
        <v>366</v>
      </c>
      <c r="G149" s="246" t="s">
        <v>60</v>
      </c>
      <c r="H149" s="246" t="s">
        <v>88</v>
      </c>
      <c r="I149" s="246" t="s">
        <v>374</v>
      </c>
      <c r="J149" s="248">
        <v>0</v>
      </c>
    </row>
    <row r="150" spans="1:10">
      <c r="A150" s="71"/>
      <c r="B150" s="107" t="s">
        <v>88</v>
      </c>
      <c r="C150" s="107" t="s">
        <v>449</v>
      </c>
      <c r="D150" s="109">
        <v>0.70279999999999998</v>
      </c>
      <c r="F150" s="478" t="s">
        <v>368</v>
      </c>
      <c r="G150" s="240" t="s">
        <v>60</v>
      </c>
      <c r="H150" s="240" t="s">
        <v>10</v>
      </c>
      <c r="I150" s="240" t="s">
        <v>375</v>
      </c>
      <c r="J150" s="241">
        <f>IF(Wine!C13&lt;=13.7,B99,IF(Wine!C13&lt;=14.9,B102,IF(Wine!C13&gt;14.9,0)))</f>
        <v>1.8700000000000001E-2</v>
      </c>
    </row>
    <row r="151" spans="1:10">
      <c r="A151" s="71"/>
      <c r="B151" s="107" t="s">
        <v>10</v>
      </c>
      <c r="C151" s="107" t="s">
        <v>450</v>
      </c>
      <c r="D151" s="109">
        <v>0.91720000000000002</v>
      </c>
      <c r="F151" s="242" t="s">
        <v>146</v>
      </c>
      <c r="G151" s="243" t="s">
        <v>60</v>
      </c>
      <c r="H151" s="243" t="s">
        <v>10</v>
      </c>
      <c r="I151" s="243" t="s">
        <v>219</v>
      </c>
      <c r="J151" s="244">
        <v>0</v>
      </c>
    </row>
    <row r="152" spans="1:10">
      <c r="A152" s="106"/>
      <c r="B152" s="107" t="s">
        <v>307</v>
      </c>
      <c r="C152" t="s">
        <v>308</v>
      </c>
      <c r="D152" s="108">
        <v>0</v>
      </c>
      <c r="F152" s="242" t="s">
        <v>145</v>
      </c>
      <c r="G152" s="243" t="s">
        <v>60</v>
      </c>
      <c r="H152" s="243" t="s">
        <v>10</v>
      </c>
      <c r="I152" s="243" t="s">
        <v>220</v>
      </c>
      <c r="J152" s="244">
        <f>IF(Wine!C13&lt;=13.6,B110,IF(Wine!C13&lt;=14.8,B111,IF(Wine!C13&lt;=15.8,B112,IF(Wine!C13&lt;=16.8,B113,IF(Wine!C13&lt;=17.8,B114,IF(Wine!C13&lt;=18.8,B115,IF(Wine!C13&lt;=19.8,B116,IF(Wine!C13&lt;=20.8,B117,IF(Wine!C13&lt;=21.8,B118,IF(Wine!C13&lt;=22.8,B119,IF(Wine!C13&gt;=22.9,B120)))))))))))</f>
        <v>2.8199999999999999E-2</v>
      </c>
    </row>
    <row r="153" spans="1:10">
      <c r="A153" s="71"/>
      <c r="B153" s="107" t="s">
        <v>53</v>
      </c>
      <c r="C153" s="107" t="s">
        <v>451</v>
      </c>
      <c r="D153" s="109">
        <v>0.91720000000000002</v>
      </c>
      <c r="F153" s="478" t="s">
        <v>367</v>
      </c>
      <c r="G153" s="243" t="s">
        <v>60</v>
      </c>
      <c r="H153" s="243" t="s">
        <v>10</v>
      </c>
      <c r="I153" s="243" t="s">
        <v>376</v>
      </c>
      <c r="J153" s="244">
        <v>0</v>
      </c>
    </row>
    <row r="154" spans="1:10">
      <c r="A154" s="71" t="s">
        <v>361</v>
      </c>
      <c r="B154" s="107" t="s">
        <v>98</v>
      </c>
      <c r="C154" s="107" t="s">
        <v>457</v>
      </c>
      <c r="D154" s="109">
        <v>0</v>
      </c>
      <c r="F154" s="242" t="s">
        <v>143</v>
      </c>
      <c r="G154" s="243" t="s">
        <v>60</v>
      </c>
      <c r="H154" s="243" t="s">
        <v>10</v>
      </c>
      <c r="I154" s="243" t="s">
        <v>221</v>
      </c>
      <c r="J154" s="244">
        <v>0</v>
      </c>
    </row>
    <row r="155" spans="1:10">
      <c r="A155" s="71"/>
      <c r="B155" s="107" t="s">
        <v>186</v>
      </c>
      <c r="C155" s="107" t="s">
        <v>458</v>
      </c>
      <c r="D155" s="109">
        <v>0</v>
      </c>
      <c r="F155" s="245" t="s">
        <v>144</v>
      </c>
      <c r="G155" s="243" t="s">
        <v>60</v>
      </c>
      <c r="H155" s="243" t="s">
        <v>10</v>
      </c>
      <c r="I155" s="243" t="s">
        <v>222</v>
      </c>
      <c r="J155" s="244">
        <v>0</v>
      </c>
    </row>
    <row r="156" spans="1:10" ht="16" thickBot="1">
      <c r="A156" s="71"/>
      <c r="B156" s="107" t="s">
        <v>88</v>
      </c>
      <c r="C156" s="107" t="s">
        <v>459</v>
      </c>
      <c r="D156" s="109">
        <v>0.70279999999999998</v>
      </c>
      <c r="F156" s="478" t="s">
        <v>366</v>
      </c>
      <c r="G156" s="243" t="s">
        <v>60</v>
      </c>
      <c r="H156" s="243" t="s">
        <v>10</v>
      </c>
      <c r="I156" s="243" t="s">
        <v>386</v>
      </c>
      <c r="J156" s="244">
        <v>0</v>
      </c>
    </row>
    <row r="157" spans="1:10">
      <c r="A157" s="71"/>
      <c r="B157" s="107" t="s">
        <v>10</v>
      </c>
      <c r="C157" s="107" t="s">
        <v>460</v>
      </c>
      <c r="D157" s="109">
        <v>0.91720000000000002</v>
      </c>
      <c r="F157" s="478" t="s">
        <v>368</v>
      </c>
      <c r="G157" s="240" t="s">
        <v>60</v>
      </c>
      <c r="H157" s="107" t="s">
        <v>307</v>
      </c>
      <c r="I157" s="240" t="s">
        <v>396</v>
      </c>
      <c r="J157" s="244">
        <v>0</v>
      </c>
    </row>
    <row r="158" spans="1:10">
      <c r="A158" s="106"/>
      <c r="B158" s="107" t="s">
        <v>307</v>
      </c>
      <c r="C158" t="s">
        <v>308</v>
      </c>
      <c r="D158" s="108">
        <v>0</v>
      </c>
      <c r="F158" s="242" t="s">
        <v>146</v>
      </c>
      <c r="G158" s="243" t="s">
        <v>60</v>
      </c>
      <c r="H158" s="107" t="s">
        <v>307</v>
      </c>
      <c r="I158" s="243" t="s">
        <v>309</v>
      </c>
      <c r="J158" s="244">
        <v>0</v>
      </c>
    </row>
    <row r="159" spans="1:10">
      <c r="A159" s="71"/>
      <c r="B159" s="107" t="s">
        <v>53</v>
      </c>
      <c r="C159" s="107" t="s">
        <v>461</v>
      </c>
      <c r="D159" s="109">
        <v>0.91720000000000002</v>
      </c>
      <c r="F159" s="242" t="s">
        <v>145</v>
      </c>
      <c r="G159" s="243" t="s">
        <v>60</v>
      </c>
      <c r="H159" s="107" t="s">
        <v>307</v>
      </c>
      <c r="I159" s="243" t="s">
        <v>310</v>
      </c>
      <c r="J159" s="244">
        <v>0</v>
      </c>
    </row>
    <row r="160" spans="1:10">
      <c r="A160" s="71" t="s">
        <v>59</v>
      </c>
      <c r="B160" s="107" t="s">
        <v>98</v>
      </c>
      <c r="C160" s="107" t="s">
        <v>187</v>
      </c>
      <c r="D160" s="108">
        <f>D135</f>
        <v>0</v>
      </c>
      <c r="F160" s="478" t="s">
        <v>367</v>
      </c>
      <c r="G160" s="243" t="s">
        <v>60</v>
      </c>
      <c r="H160" s="107" t="s">
        <v>307</v>
      </c>
      <c r="I160" s="243" t="s">
        <v>377</v>
      </c>
      <c r="J160" s="244">
        <v>0</v>
      </c>
    </row>
    <row r="161" spans="1:10">
      <c r="A161" s="71"/>
      <c r="B161" s="107" t="s">
        <v>186</v>
      </c>
      <c r="C161" s="107" t="s">
        <v>188</v>
      </c>
      <c r="D161" s="108">
        <f>D136</f>
        <v>0.2616</v>
      </c>
      <c r="F161" s="242" t="s">
        <v>143</v>
      </c>
      <c r="G161" s="243" t="s">
        <v>60</v>
      </c>
      <c r="H161" s="107" t="s">
        <v>307</v>
      </c>
      <c r="I161" s="243" t="s">
        <v>311</v>
      </c>
      <c r="J161" s="244">
        <v>0</v>
      </c>
    </row>
    <row r="162" spans="1:10">
      <c r="A162" s="71"/>
      <c r="B162" s="107" t="s">
        <v>88</v>
      </c>
      <c r="C162" s="107" t="s">
        <v>189</v>
      </c>
      <c r="D162" s="108">
        <f>D137</f>
        <v>0.379</v>
      </c>
      <c r="F162" s="245" t="s">
        <v>144</v>
      </c>
      <c r="G162" s="243" t="s">
        <v>60</v>
      </c>
      <c r="H162" s="107" t="s">
        <v>307</v>
      </c>
      <c r="I162" s="243" t="s">
        <v>312</v>
      </c>
      <c r="J162" s="244">
        <v>0</v>
      </c>
    </row>
    <row r="163" spans="1:10" ht="16" thickBot="1">
      <c r="A163" s="71"/>
      <c r="B163" s="107" t="s">
        <v>10</v>
      </c>
      <c r="C163" s="107" t="s">
        <v>190</v>
      </c>
      <c r="D163" s="108">
        <f>D138</f>
        <v>0.2959</v>
      </c>
      <c r="F163" s="478" t="s">
        <v>366</v>
      </c>
      <c r="G163" s="243" t="s">
        <v>60</v>
      </c>
      <c r="H163" s="107" t="s">
        <v>307</v>
      </c>
      <c r="I163" s="243" t="s">
        <v>387</v>
      </c>
      <c r="J163" s="244">
        <v>0</v>
      </c>
    </row>
    <row r="164" spans="1:10">
      <c r="A164" s="106"/>
      <c r="B164" s="107" t="s">
        <v>307</v>
      </c>
      <c r="C164" t="s">
        <v>308</v>
      </c>
      <c r="D164" s="108">
        <v>0</v>
      </c>
      <c r="F164" s="478" t="s">
        <v>368</v>
      </c>
      <c r="G164" s="246" t="s">
        <v>60</v>
      </c>
      <c r="H164" s="246" t="s">
        <v>53</v>
      </c>
      <c r="I164" s="246" t="s">
        <v>397</v>
      </c>
      <c r="J164" s="247">
        <f>IF(Wine!C13&lt;=13.7,B99,IF(Wine!C13&lt;=14.9,B102,IF(Wine!C13&gt;14.9,0)))</f>
        <v>1.8700000000000001E-2</v>
      </c>
    </row>
    <row r="165" spans="1:10">
      <c r="A165" s="71"/>
      <c r="B165" s="107" t="s">
        <v>53</v>
      </c>
      <c r="C165" s="107" t="s">
        <v>191</v>
      </c>
      <c r="D165" s="108">
        <f>D140</f>
        <v>0.67530000000000001</v>
      </c>
      <c r="F165" s="242" t="s">
        <v>146</v>
      </c>
      <c r="G165" s="246" t="s">
        <v>60</v>
      </c>
      <c r="H165" s="246" t="s">
        <v>53</v>
      </c>
      <c r="I165" s="246" t="s">
        <v>223</v>
      </c>
      <c r="J165" s="248">
        <v>0</v>
      </c>
    </row>
    <row r="166" spans="1:10">
      <c r="A166" s="190" t="s">
        <v>363</v>
      </c>
      <c r="B166" s="107" t="s">
        <v>98</v>
      </c>
      <c r="C166" s="107" t="s">
        <v>462</v>
      </c>
      <c r="D166" s="108">
        <f>D142</f>
        <v>0</v>
      </c>
      <c r="F166" s="242" t="s">
        <v>145</v>
      </c>
      <c r="G166" s="246" t="s">
        <v>60</v>
      </c>
      <c r="H166" s="246" t="s">
        <v>53</v>
      </c>
      <c r="I166" s="246" t="s">
        <v>224</v>
      </c>
      <c r="J166" s="248">
        <f>IF(Wine!C13&lt;=13.6,B110,IF(Wine!C13&lt;=14.8,B111,IF(Wine!C13&lt;=15.8,B112,IF(Wine!C13&lt;=16.8,B113,IF(Wine!C13&lt;=17.8,B114,IF(Wine!C13&lt;=18.8,B115,IF(Wine!C13&lt;=19.8,B116,IF(Wine!C13&lt;=20.8,B117,IF(Wine!C13&lt;=21.8,B118,IF(Wine!C13&lt;=22.8,B119,IF(Wine!C13&gt;=22.9,B120)))))))))))</f>
        <v>2.8199999999999999E-2</v>
      </c>
    </row>
    <row r="167" spans="1:10">
      <c r="A167" s="71"/>
      <c r="B167" s="107" t="s">
        <v>186</v>
      </c>
      <c r="C167" s="107" t="s">
        <v>463</v>
      </c>
      <c r="D167" s="108">
        <f>D143</f>
        <v>0.29859999999999998</v>
      </c>
      <c r="F167" s="478" t="s">
        <v>367</v>
      </c>
      <c r="G167" s="246" t="s">
        <v>60</v>
      </c>
      <c r="H167" s="246" t="s">
        <v>53</v>
      </c>
      <c r="I167" s="246" t="s">
        <v>378</v>
      </c>
      <c r="J167" s="248">
        <v>0</v>
      </c>
    </row>
    <row r="168" spans="1:10">
      <c r="A168" s="71"/>
      <c r="B168" s="107" t="s">
        <v>88</v>
      </c>
      <c r="C168" s="107" t="s">
        <v>464</v>
      </c>
      <c r="D168" s="108">
        <f>D144</f>
        <v>0.56510000000000005</v>
      </c>
      <c r="F168" s="242" t="s">
        <v>143</v>
      </c>
      <c r="G168" s="246" t="s">
        <v>60</v>
      </c>
      <c r="H168" s="246" t="s">
        <v>53</v>
      </c>
      <c r="I168" s="246" t="s">
        <v>225</v>
      </c>
      <c r="J168" s="248">
        <v>0</v>
      </c>
    </row>
    <row r="169" spans="1:10">
      <c r="A169" s="71"/>
      <c r="B169" s="107" t="s">
        <v>10</v>
      </c>
      <c r="C169" s="107" t="s">
        <v>465</v>
      </c>
      <c r="D169" s="108">
        <f>D145</f>
        <v>1.7479</v>
      </c>
      <c r="F169" s="245" t="s">
        <v>144</v>
      </c>
      <c r="G169" s="246" t="s">
        <v>60</v>
      </c>
      <c r="H169" s="246" t="s">
        <v>53</v>
      </c>
      <c r="I169" s="246" t="s">
        <v>226</v>
      </c>
      <c r="J169" s="248">
        <v>0</v>
      </c>
    </row>
    <row r="170" spans="1:10" ht="16" thickBot="1">
      <c r="A170" s="106"/>
      <c r="B170" s="107" t="s">
        <v>307</v>
      </c>
      <c r="C170" t="s">
        <v>308</v>
      </c>
      <c r="D170" s="108">
        <v>0</v>
      </c>
      <c r="F170" s="478" t="s">
        <v>366</v>
      </c>
      <c r="G170" s="246" t="s">
        <v>60</v>
      </c>
      <c r="H170" s="246" t="s">
        <v>53</v>
      </c>
      <c r="I170" s="246" t="s">
        <v>388</v>
      </c>
      <c r="J170" s="248">
        <v>0</v>
      </c>
    </row>
    <row r="171" spans="1:10">
      <c r="A171" s="71"/>
      <c r="B171" s="107" t="s">
        <v>53</v>
      </c>
      <c r="C171" s="107" t="s">
        <v>466</v>
      </c>
      <c r="D171" s="108">
        <f>D147</f>
        <v>1.7479</v>
      </c>
      <c r="F171" s="478" t="s">
        <v>368</v>
      </c>
      <c r="G171" s="240" t="s">
        <v>60</v>
      </c>
      <c r="H171" s="240" t="s">
        <v>98</v>
      </c>
      <c r="I171" s="240" t="s">
        <v>398</v>
      </c>
      <c r="J171" s="241">
        <v>0</v>
      </c>
    </row>
    <row r="172" spans="1:10">
      <c r="A172" s="71" t="s">
        <v>130</v>
      </c>
      <c r="B172" s="107" t="s">
        <v>98</v>
      </c>
      <c r="C172" s="107" t="s">
        <v>192</v>
      </c>
      <c r="D172" s="108">
        <f>D135</f>
        <v>0</v>
      </c>
      <c r="F172" s="242" t="s">
        <v>146</v>
      </c>
      <c r="G172" s="243" t="s">
        <v>60</v>
      </c>
      <c r="H172" s="243" t="s">
        <v>98</v>
      </c>
      <c r="I172" s="243" t="s">
        <v>227</v>
      </c>
      <c r="J172" s="244">
        <v>0</v>
      </c>
    </row>
    <row r="173" spans="1:10">
      <c r="A173" s="71"/>
      <c r="B173" s="107" t="s">
        <v>186</v>
      </c>
      <c r="C173" s="107" t="s">
        <v>193</v>
      </c>
      <c r="D173" s="108">
        <f>D136</f>
        <v>0.2616</v>
      </c>
      <c r="F173" s="242" t="s">
        <v>145</v>
      </c>
      <c r="G173" s="243" t="s">
        <v>60</v>
      </c>
      <c r="H173" s="243" t="s">
        <v>98</v>
      </c>
      <c r="I173" s="243" t="s">
        <v>228</v>
      </c>
      <c r="J173" s="244">
        <v>0</v>
      </c>
    </row>
    <row r="174" spans="1:10">
      <c r="A174" s="71"/>
      <c r="B174" s="107" t="s">
        <v>88</v>
      </c>
      <c r="C174" s="107" t="s">
        <v>194</v>
      </c>
      <c r="D174" s="108">
        <f>D137</f>
        <v>0.379</v>
      </c>
      <c r="F174" s="478" t="s">
        <v>367</v>
      </c>
      <c r="G174" s="243" t="s">
        <v>60</v>
      </c>
      <c r="H174" s="243" t="s">
        <v>98</v>
      </c>
      <c r="I174" s="243" t="s">
        <v>379</v>
      </c>
      <c r="J174" s="244">
        <v>0</v>
      </c>
    </row>
    <row r="175" spans="1:10">
      <c r="A175" s="71"/>
      <c r="B175" s="107" t="s">
        <v>10</v>
      </c>
      <c r="C175" s="107" t="s">
        <v>195</v>
      </c>
      <c r="D175" s="108">
        <f>D138</f>
        <v>0.2959</v>
      </c>
      <c r="F175" s="242" t="s">
        <v>143</v>
      </c>
      <c r="G175" s="243" t="s">
        <v>60</v>
      </c>
      <c r="H175" s="243" t="s">
        <v>98</v>
      </c>
      <c r="I175" s="243" t="s">
        <v>229</v>
      </c>
      <c r="J175" s="244">
        <v>0</v>
      </c>
    </row>
    <row r="176" spans="1:10">
      <c r="A176" s="106"/>
      <c r="B176" s="107" t="s">
        <v>307</v>
      </c>
      <c r="C176" t="s">
        <v>308</v>
      </c>
      <c r="D176" s="108">
        <v>0</v>
      </c>
      <c r="F176" s="245" t="s">
        <v>144</v>
      </c>
      <c r="G176" s="243" t="s">
        <v>60</v>
      </c>
      <c r="H176" s="243" t="s">
        <v>98</v>
      </c>
      <c r="I176" s="243" t="s">
        <v>230</v>
      </c>
      <c r="J176" s="244">
        <v>0</v>
      </c>
    </row>
    <row r="177" spans="1:10" ht="16" thickBot="1">
      <c r="A177" s="71"/>
      <c r="B177" s="107" t="s">
        <v>53</v>
      </c>
      <c r="C177" s="107" t="s">
        <v>196</v>
      </c>
      <c r="D177" s="108">
        <f>D140</f>
        <v>0.67530000000000001</v>
      </c>
      <c r="F177" s="478" t="s">
        <v>366</v>
      </c>
      <c r="G177" s="243" t="s">
        <v>60</v>
      </c>
      <c r="H177" s="243" t="s">
        <v>98</v>
      </c>
      <c r="I177" s="243" t="s">
        <v>389</v>
      </c>
      <c r="J177" s="244">
        <v>0</v>
      </c>
    </row>
    <row r="178" spans="1:10">
      <c r="A178" s="486" t="s">
        <v>355</v>
      </c>
      <c r="B178" s="487" t="s">
        <v>98</v>
      </c>
      <c r="C178" s="487" t="s">
        <v>452</v>
      </c>
      <c r="D178" s="488">
        <v>0</v>
      </c>
      <c r="F178" s="478" t="s">
        <v>368</v>
      </c>
      <c r="G178" s="246" t="s">
        <v>6</v>
      </c>
      <c r="H178" s="246" t="s">
        <v>186</v>
      </c>
      <c r="I178" s="246" t="s">
        <v>399</v>
      </c>
      <c r="J178" s="247">
        <v>0</v>
      </c>
    </row>
    <row r="179" spans="1:10">
      <c r="A179" s="486"/>
      <c r="B179" s="487" t="s">
        <v>186</v>
      </c>
      <c r="C179" s="487" t="s">
        <v>453</v>
      </c>
      <c r="D179" s="488">
        <v>0</v>
      </c>
      <c r="F179" s="242" t="s">
        <v>146</v>
      </c>
      <c r="G179" s="246" t="s">
        <v>6</v>
      </c>
      <c r="H179" s="246" t="s">
        <v>186</v>
      </c>
      <c r="I179" s="246" t="s">
        <v>231</v>
      </c>
      <c r="J179" s="248">
        <v>0</v>
      </c>
    </row>
    <row r="180" spans="1:10">
      <c r="A180" s="486"/>
      <c r="B180" s="487" t="s">
        <v>88</v>
      </c>
      <c r="C180" s="487" t="s">
        <v>454</v>
      </c>
      <c r="D180" s="488">
        <v>0.70279999999999998</v>
      </c>
      <c r="F180" s="242" t="s">
        <v>145</v>
      </c>
      <c r="G180" s="246" t="s">
        <v>6</v>
      </c>
      <c r="H180" s="246" t="s">
        <v>186</v>
      </c>
      <c r="I180" s="246" t="s">
        <v>232</v>
      </c>
      <c r="J180" s="248">
        <v>0</v>
      </c>
    </row>
    <row r="181" spans="1:10">
      <c r="A181" s="486"/>
      <c r="B181" s="487" t="s">
        <v>10</v>
      </c>
      <c r="C181" s="487" t="s">
        <v>455</v>
      </c>
      <c r="D181" s="488">
        <v>0.91720000000000002</v>
      </c>
      <c r="F181" s="478" t="s">
        <v>367</v>
      </c>
      <c r="G181" s="246" t="s">
        <v>6</v>
      </c>
      <c r="H181" s="246" t="s">
        <v>186</v>
      </c>
      <c r="I181" s="246" t="s">
        <v>380</v>
      </c>
      <c r="J181" s="248">
        <v>0</v>
      </c>
    </row>
    <row r="182" spans="1:10">
      <c r="A182" s="489"/>
      <c r="B182" s="487" t="s">
        <v>307</v>
      </c>
      <c r="C182" s="490" t="s">
        <v>308</v>
      </c>
      <c r="D182" s="488">
        <v>0</v>
      </c>
      <c r="F182" s="242" t="s">
        <v>143</v>
      </c>
      <c r="G182" s="246" t="s">
        <v>6</v>
      </c>
      <c r="H182" s="246" t="s">
        <v>186</v>
      </c>
      <c r="I182" s="246" t="s">
        <v>233</v>
      </c>
      <c r="J182" s="248">
        <v>0</v>
      </c>
    </row>
    <row r="183" spans="1:10">
      <c r="A183" s="486"/>
      <c r="B183" s="487" t="s">
        <v>53</v>
      </c>
      <c r="C183" s="487" t="s">
        <v>456</v>
      </c>
      <c r="D183" s="488">
        <v>0.91720000000000002</v>
      </c>
      <c r="F183" s="245" t="s">
        <v>144</v>
      </c>
      <c r="G183" s="246" t="s">
        <v>6</v>
      </c>
      <c r="H183" s="246" t="s">
        <v>186</v>
      </c>
      <c r="I183" s="246" t="s">
        <v>234</v>
      </c>
      <c r="J183" s="248">
        <v>0</v>
      </c>
    </row>
    <row r="184" spans="1:10" ht="16" thickBot="1">
      <c r="A184" s="486"/>
      <c r="B184" s="487"/>
      <c r="C184" s="487"/>
      <c r="D184" s="488"/>
      <c r="F184" s="478" t="s">
        <v>366</v>
      </c>
      <c r="G184" s="246" t="s">
        <v>6</v>
      </c>
      <c r="H184" s="246" t="s">
        <v>186</v>
      </c>
      <c r="I184" s="246" t="s">
        <v>390</v>
      </c>
      <c r="J184" s="248">
        <v>0</v>
      </c>
    </row>
    <row r="185" spans="1:10">
      <c r="A185" s="486"/>
      <c r="B185" s="487"/>
      <c r="C185" s="487"/>
      <c r="D185" s="488"/>
      <c r="F185" s="478" t="s">
        <v>368</v>
      </c>
      <c r="G185" s="240" t="s">
        <v>6</v>
      </c>
      <c r="H185" s="240" t="s">
        <v>88</v>
      </c>
      <c r="I185" s="240" t="s">
        <v>400</v>
      </c>
      <c r="J185" s="241">
        <v>0</v>
      </c>
    </row>
    <row r="186" spans="1:10">
      <c r="A186" s="486"/>
      <c r="B186" s="487"/>
      <c r="C186" s="487"/>
      <c r="D186" s="488"/>
      <c r="F186" s="242" t="s">
        <v>146</v>
      </c>
      <c r="G186" s="243" t="s">
        <v>6</v>
      </c>
      <c r="H186" s="243" t="s">
        <v>88</v>
      </c>
      <c r="I186" s="243" t="s">
        <v>235</v>
      </c>
      <c r="J186" s="244">
        <v>0</v>
      </c>
    </row>
    <row r="187" spans="1:10">
      <c r="A187" s="486"/>
      <c r="B187" s="487"/>
      <c r="C187" s="487"/>
      <c r="D187" s="488"/>
      <c r="F187" s="242" t="s">
        <v>145</v>
      </c>
      <c r="G187" s="243" t="s">
        <v>6</v>
      </c>
      <c r="H187" s="243" t="s">
        <v>88</v>
      </c>
      <c r="I187" s="243" t="s">
        <v>236</v>
      </c>
      <c r="J187" s="244">
        <v>0</v>
      </c>
    </row>
    <row r="188" spans="1:10">
      <c r="A188" s="489"/>
      <c r="B188" s="487"/>
      <c r="C188" s="490"/>
      <c r="D188" s="488"/>
      <c r="F188" s="478" t="s">
        <v>367</v>
      </c>
      <c r="G188" s="243" t="s">
        <v>6</v>
      </c>
      <c r="H188" s="243" t="s">
        <v>88</v>
      </c>
      <c r="I188" s="243" t="s">
        <v>381</v>
      </c>
      <c r="J188" s="244">
        <v>0</v>
      </c>
    </row>
    <row r="189" spans="1:10">
      <c r="A189" s="486"/>
      <c r="B189" s="487"/>
      <c r="C189" s="487"/>
      <c r="D189" s="488"/>
      <c r="F189" s="242" t="s">
        <v>143</v>
      </c>
      <c r="G189" s="243" t="s">
        <v>6</v>
      </c>
      <c r="H189" s="243" t="s">
        <v>88</v>
      </c>
      <c r="I189" s="243" t="s">
        <v>237</v>
      </c>
      <c r="J189" s="244">
        <v>0</v>
      </c>
    </row>
    <row r="190" spans="1:10">
      <c r="F190" s="245" t="s">
        <v>144</v>
      </c>
      <c r="G190" s="243" t="s">
        <v>6</v>
      </c>
      <c r="H190" s="243" t="s">
        <v>88</v>
      </c>
      <c r="I190" s="243" t="s">
        <v>238</v>
      </c>
      <c r="J190" s="244">
        <v>0</v>
      </c>
    </row>
    <row r="191" spans="1:10" ht="16" thickBot="1">
      <c r="F191" s="478" t="s">
        <v>366</v>
      </c>
      <c r="G191" s="243" t="s">
        <v>6</v>
      </c>
      <c r="H191" s="243" t="s">
        <v>88</v>
      </c>
      <c r="I191" s="243" t="s">
        <v>391</v>
      </c>
      <c r="J191" s="244">
        <v>0</v>
      </c>
    </row>
    <row r="192" spans="1:10">
      <c r="F192" s="478" t="s">
        <v>368</v>
      </c>
      <c r="G192" s="246" t="s">
        <v>6</v>
      </c>
      <c r="H192" s="246" t="s">
        <v>10</v>
      </c>
      <c r="I192" s="246" t="s">
        <v>401</v>
      </c>
      <c r="J192" s="247">
        <v>0</v>
      </c>
    </row>
    <row r="193" spans="6:10">
      <c r="F193" s="242" t="s">
        <v>146</v>
      </c>
      <c r="G193" s="246" t="s">
        <v>6</v>
      </c>
      <c r="H193" s="246" t="s">
        <v>10</v>
      </c>
      <c r="I193" s="246" t="s">
        <v>239</v>
      </c>
      <c r="J193" s="248">
        <v>0</v>
      </c>
    </row>
    <row r="194" spans="6:10">
      <c r="F194" s="242" t="s">
        <v>145</v>
      </c>
      <c r="G194" s="246" t="s">
        <v>6</v>
      </c>
      <c r="H194" s="246" t="s">
        <v>10</v>
      </c>
      <c r="I194" s="246" t="s">
        <v>240</v>
      </c>
      <c r="J194" s="248">
        <v>0</v>
      </c>
    </row>
    <row r="195" spans="6:10">
      <c r="F195" s="478" t="s">
        <v>367</v>
      </c>
      <c r="G195" s="246" t="s">
        <v>6</v>
      </c>
      <c r="H195" s="246" t="s">
        <v>10</v>
      </c>
      <c r="I195" s="246" t="s">
        <v>382</v>
      </c>
      <c r="J195" s="248">
        <v>0</v>
      </c>
    </row>
    <row r="196" spans="6:10">
      <c r="F196" s="242" t="s">
        <v>143</v>
      </c>
      <c r="G196" s="246" t="s">
        <v>6</v>
      </c>
      <c r="H196" s="246" t="s">
        <v>10</v>
      </c>
      <c r="I196" s="246" t="s">
        <v>241</v>
      </c>
      <c r="J196" s="248">
        <v>0</v>
      </c>
    </row>
    <row r="197" spans="6:10">
      <c r="F197" s="245" t="s">
        <v>144</v>
      </c>
      <c r="G197" s="246" t="s">
        <v>6</v>
      </c>
      <c r="H197" s="246" t="s">
        <v>10</v>
      </c>
      <c r="I197" s="246" t="s">
        <v>242</v>
      </c>
      <c r="J197" s="248">
        <v>0</v>
      </c>
    </row>
    <row r="198" spans="6:10" ht="16" thickBot="1">
      <c r="F198" s="478" t="s">
        <v>366</v>
      </c>
      <c r="G198" s="246" t="s">
        <v>6</v>
      </c>
      <c r="H198" s="246" t="s">
        <v>10</v>
      </c>
      <c r="I198" s="246" t="s">
        <v>392</v>
      </c>
      <c r="J198" s="248">
        <v>0</v>
      </c>
    </row>
    <row r="199" spans="6:10">
      <c r="F199" s="478" t="s">
        <v>368</v>
      </c>
      <c r="G199" s="240" t="s">
        <v>6</v>
      </c>
      <c r="H199" s="240" t="s">
        <v>53</v>
      </c>
      <c r="I199" s="240" t="s">
        <v>402</v>
      </c>
      <c r="J199" s="241">
        <f>IF(Wine!C13&lt;=13.7,B99,IF(Wine!C13&lt;=14.9,B102,IF(Wine!C13&gt;14.9,0)))</f>
        <v>1.8700000000000001E-2</v>
      </c>
    </row>
    <row r="200" spans="6:10">
      <c r="F200" s="242" t="s">
        <v>146</v>
      </c>
      <c r="G200" s="243" t="s">
        <v>6</v>
      </c>
      <c r="H200" s="243" t="s">
        <v>53</v>
      </c>
      <c r="I200" s="243" t="s">
        <v>243</v>
      </c>
      <c r="J200" s="244">
        <v>0</v>
      </c>
    </row>
    <row r="201" spans="6:10">
      <c r="F201" s="242" t="s">
        <v>145</v>
      </c>
      <c r="G201" s="243" t="s">
        <v>6</v>
      </c>
      <c r="H201" s="243" t="s">
        <v>53</v>
      </c>
      <c r="I201" s="243" t="s">
        <v>244</v>
      </c>
      <c r="J201" s="244">
        <f>IF(Wine!C13&lt;=13.6,B110,IF(Wine!C13&lt;=14.8,B111,IF(Wine!C13&lt;=15.8,B112,IF(Wine!C13&lt;=16.8,B113,IF(Wine!C13&lt;=17.8,B114,IF(Wine!C13&lt;=18.8,B115,IF(Wine!C13&lt;=19.8,B116,IF(Wine!C13&lt;=20.8,B117,IF(Wine!C13&lt;=21.8,B118,IF(Wine!C13&lt;=22.8,B119,IF(Wine!C13&gt;=22.9,B120)))))))))))</f>
        <v>2.8199999999999999E-2</v>
      </c>
    </row>
    <row r="202" spans="6:10">
      <c r="F202" s="478" t="s">
        <v>367</v>
      </c>
      <c r="G202" s="243" t="s">
        <v>6</v>
      </c>
      <c r="H202" s="243" t="s">
        <v>53</v>
      </c>
      <c r="I202" s="243" t="s">
        <v>383</v>
      </c>
      <c r="J202" s="244">
        <v>0</v>
      </c>
    </row>
    <row r="203" spans="6:10">
      <c r="F203" s="242" t="s">
        <v>143</v>
      </c>
      <c r="G203" s="243" t="s">
        <v>6</v>
      </c>
      <c r="H203" s="243" t="s">
        <v>53</v>
      </c>
      <c r="I203" s="243" t="s">
        <v>245</v>
      </c>
      <c r="J203" s="244">
        <v>0</v>
      </c>
    </row>
    <row r="204" spans="6:10">
      <c r="F204" s="245" t="s">
        <v>144</v>
      </c>
      <c r="G204" s="243" t="s">
        <v>6</v>
      </c>
      <c r="H204" s="243" t="s">
        <v>53</v>
      </c>
      <c r="I204" s="243" t="s">
        <v>246</v>
      </c>
      <c r="J204" s="244">
        <v>0</v>
      </c>
    </row>
    <row r="205" spans="6:10" ht="16" thickBot="1">
      <c r="F205" s="478" t="s">
        <v>366</v>
      </c>
      <c r="G205" s="243" t="s">
        <v>6</v>
      </c>
      <c r="H205" s="243" t="s">
        <v>53</v>
      </c>
      <c r="I205" s="243" t="s">
        <v>393</v>
      </c>
      <c r="J205" s="244">
        <v>0</v>
      </c>
    </row>
    <row r="206" spans="6:10">
      <c r="F206" s="478" t="s">
        <v>368</v>
      </c>
      <c r="G206" s="243" t="s">
        <v>6</v>
      </c>
      <c r="H206" s="107" t="s">
        <v>307</v>
      </c>
      <c r="I206" s="240" t="s">
        <v>403</v>
      </c>
      <c r="J206" s="244">
        <v>0</v>
      </c>
    </row>
    <row r="207" spans="6:10">
      <c r="F207" s="242" t="s">
        <v>146</v>
      </c>
      <c r="G207" s="243" t="s">
        <v>6</v>
      </c>
      <c r="H207" s="107" t="s">
        <v>307</v>
      </c>
      <c r="I207" s="243" t="s">
        <v>321</v>
      </c>
      <c r="J207" s="244">
        <v>0</v>
      </c>
    </row>
    <row r="208" spans="6:10">
      <c r="F208" s="242" t="s">
        <v>145</v>
      </c>
      <c r="G208" s="243" t="s">
        <v>6</v>
      </c>
      <c r="H208" s="107" t="s">
        <v>307</v>
      </c>
      <c r="I208" s="243" t="s">
        <v>322</v>
      </c>
      <c r="J208" s="244">
        <v>0</v>
      </c>
    </row>
    <row r="209" spans="6:10">
      <c r="F209" s="478" t="s">
        <v>367</v>
      </c>
      <c r="G209" s="243" t="s">
        <v>6</v>
      </c>
      <c r="H209" s="107" t="s">
        <v>307</v>
      </c>
      <c r="I209" s="243" t="s">
        <v>384</v>
      </c>
      <c r="J209" s="244">
        <v>0</v>
      </c>
    </row>
    <row r="210" spans="6:10">
      <c r="F210" s="242" t="s">
        <v>143</v>
      </c>
      <c r="G210" s="243" t="s">
        <v>6</v>
      </c>
      <c r="H210" s="107" t="s">
        <v>307</v>
      </c>
      <c r="I210" s="243" t="s">
        <v>323</v>
      </c>
      <c r="J210" s="244">
        <v>0</v>
      </c>
    </row>
    <row r="211" spans="6:10">
      <c r="F211" s="245" t="s">
        <v>144</v>
      </c>
      <c r="G211" s="243" t="s">
        <v>6</v>
      </c>
      <c r="H211" s="107" t="s">
        <v>307</v>
      </c>
      <c r="I211" s="243" t="s">
        <v>324</v>
      </c>
      <c r="J211" s="244">
        <v>0</v>
      </c>
    </row>
    <row r="212" spans="6:10" ht="16" thickBot="1">
      <c r="F212" s="478" t="s">
        <v>366</v>
      </c>
      <c r="G212" s="243" t="s">
        <v>6</v>
      </c>
      <c r="H212" s="107" t="s">
        <v>307</v>
      </c>
      <c r="I212" s="243" t="s">
        <v>394</v>
      </c>
      <c r="J212" s="244">
        <v>0</v>
      </c>
    </row>
    <row r="213" spans="6:10">
      <c r="F213" s="478" t="s">
        <v>368</v>
      </c>
      <c r="G213" s="246" t="s">
        <v>6</v>
      </c>
      <c r="H213" s="246" t="s">
        <v>98</v>
      </c>
      <c r="I213" s="246" t="s">
        <v>404</v>
      </c>
      <c r="J213" s="247">
        <v>0</v>
      </c>
    </row>
    <row r="214" spans="6:10">
      <c r="F214" s="242" t="s">
        <v>146</v>
      </c>
      <c r="G214" s="246" t="s">
        <v>6</v>
      </c>
      <c r="H214" s="246" t="s">
        <v>98</v>
      </c>
      <c r="I214" s="246" t="s">
        <v>247</v>
      </c>
      <c r="J214" s="248">
        <v>0</v>
      </c>
    </row>
    <row r="215" spans="6:10">
      <c r="F215" s="242" t="s">
        <v>145</v>
      </c>
      <c r="G215" s="246" t="s">
        <v>6</v>
      </c>
      <c r="H215" s="246" t="s">
        <v>98</v>
      </c>
      <c r="I215" s="246" t="s">
        <v>248</v>
      </c>
      <c r="J215" s="248">
        <v>0</v>
      </c>
    </row>
    <row r="216" spans="6:10">
      <c r="F216" s="478" t="s">
        <v>367</v>
      </c>
      <c r="G216" s="246" t="s">
        <v>6</v>
      </c>
      <c r="H216" s="246" t="s">
        <v>98</v>
      </c>
      <c r="I216" s="246" t="s">
        <v>385</v>
      </c>
      <c r="J216" s="248">
        <v>0</v>
      </c>
    </row>
    <row r="217" spans="6:10">
      <c r="F217" s="242" t="s">
        <v>143</v>
      </c>
      <c r="G217" s="246" t="s">
        <v>6</v>
      </c>
      <c r="H217" s="246" t="s">
        <v>98</v>
      </c>
      <c r="I217" s="246" t="s">
        <v>249</v>
      </c>
      <c r="J217" s="248">
        <v>0</v>
      </c>
    </row>
    <row r="218" spans="6:10">
      <c r="F218" s="245" t="s">
        <v>144</v>
      </c>
      <c r="G218" s="246" t="s">
        <v>6</v>
      </c>
      <c r="H218" s="246" t="s">
        <v>98</v>
      </c>
      <c r="I218" s="246" t="s">
        <v>250</v>
      </c>
      <c r="J218" s="248">
        <v>0</v>
      </c>
    </row>
    <row r="219" spans="6:10" ht="16" thickBot="1">
      <c r="F219" s="478" t="s">
        <v>366</v>
      </c>
      <c r="G219" s="246" t="s">
        <v>6</v>
      </c>
      <c r="H219" s="246" t="s">
        <v>98</v>
      </c>
      <c r="I219" s="246" t="s">
        <v>395</v>
      </c>
      <c r="J219" s="248">
        <v>0</v>
      </c>
    </row>
    <row r="220" spans="6:10">
      <c r="F220" s="478" t="s">
        <v>362</v>
      </c>
      <c r="G220" s="250" t="s">
        <v>6</v>
      </c>
      <c r="H220" s="250" t="s">
        <v>98</v>
      </c>
      <c r="I220" s="250" t="s">
        <v>405</v>
      </c>
      <c r="J220" s="251">
        <v>0</v>
      </c>
    </row>
    <row r="221" spans="6:10">
      <c r="F221" s="478" t="s">
        <v>362</v>
      </c>
      <c r="G221" s="250" t="s">
        <v>6</v>
      </c>
      <c r="H221" s="250" t="s">
        <v>186</v>
      </c>
      <c r="I221" s="250" t="s">
        <v>406</v>
      </c>
      <c r="J221" s="252">
        <v>0</v>
      </c>
    </row>
    <row r="222" spans="6:10">
      <c r="F222" s="478" t="s">
        <v>362</v>
      </c>
      <c r="G222" s="250" t="s">
        <v>6</v>
      </c>
      <c r="H222" s="250" t="s">
        <v>88</v>
      </c>
      <c r="I222" s="250" t="s">
        <v>407</v>
      </c>
      <c r="J222" s="252">
        <v>0</v>
      </c>
    </row>
    <row r="223" spans="6:10">
      <c r="F223" s="478" t="s">
        <v>362</v>
      </c>
      <c r="G223" s="250" t="s">
        <v>6</v>
      </c>
      <c r="H223" s="250" t="s">
        <v>10</v>
      </c>
      <c r="I223" s="250" t="s">
        <v>408</v>
      </c>
      <c r="J223" s="252">
        <v>0</v>
      </c>
    </row>
    <row r="224" spans="6:10">
      <c r="F224" s="478" t="s">
        <v>362</v>
      </c>
      <c r="G224" s="250" t="s">
        <v>6</v>
      </c>
      <c r="H224" s="107" t="s">
        <v>307</v>
      </c>
      <c r="I224" s="250" t="s">
        <v>409</v>
      </c>
      <c r="J224" s="252">
        <v>0</v>
      </c>
    </row>
    <row r="225" spans="6:15" ht="16" thickBot="1">
      <c r="F225" s="478" t="s">
        <v>362</v>
      </c>
      <c r="G225" s="250" t="s">
        <v>6</v>
      </c>
      <c r="H225" s="250" t="s">
        <v>53</v>
      </c>
      <c r="I225" s="250" t="s">
        <v>410</v>
      </c>
      <c r="J225" s="252">
        <f>B132</f>
        <v>0.12280000000000001</v>
      </c>
    </row>
    <row r="226" spans="6:15" s="479" customFormat="1">
      <c r="F226" s="478" t="s">
        <v>355</v>
      </c>
      <c r="G226" s="480" t="s">
        <v>6</v>
      </c>
      <c r="H226" s="480" t="s">
        <v>98</v>
      </c>
      <c r="I226" s="480" t="s">
        <v>411</v>
      </c>
      <c r="J226" s="481">
        <v>0</v>
      </c>
      <c r="M226" s="523"/>
      <c r="N226" s="523"/>
      <c r="O226" s="523"/>
    </row>
    <row r="227" spans="6:15" s="479" customFormat="1">
      <c r="F227" s="478" t="s">
        <v>355</v>
      </c>
      <c r="G227" s="480" t="s">
        <v>6</v>
      </c>
      <c r="H227" s="480" t="s">
        <v>186</v>
      </c>
      <c r="I227" s="480" t="s">
        <v>412</v>
      </c>
      <c r="J227" s="482">
        <v>0</v>
      </c>
      <c r="M227" s="523"/>
      <c r="N227" s="523"/>
      <c r="O227" s="523"/>
    </row>
    <row r="228" spans="6:15" s="479" customFormat="1">
      <c r="F228" s="478" t="s">
        <v>355</v>
      </c>
      <c r="G228" s="480" t="s">
        <v>6</v>
      </c>
      <c r="H228" s="480" t="s">
        <v>88</v>
      </c>
      <c r="I228" s="480" t="s">
        <v>413</v>
      </c>
      <c r="J228" s="482">
        <v>0</v>
      </c>
      <c r="M228" s="523"/>
      <c r="N228" s="523"/>
      <c r="O228" s="523"/>
    </row>
    <row r="229" spans="6:15" s="479" customFormat="1">
      <c r="F229" s="478" t="s">
        <v>355</v>
      </c>
      <c r="G229" s="480" t="s">
        <v>6</v>
      </c>
      <c r="H229" s="480" t="s">
        <v>10</v>
      </c>
      <c r="I229" s="480" t="s">
        <v>414</v>
      </c>
      <c r="J229" s="482">
        <v>0</v>
      </c>
      <c r="M229" s="523"/>
      <c r="N229" s="523"/>
      <c r="O229" s="523"/>
    </row>
    <row r="230" spans="6:15" s="479" customFormat="1">
      <c r="F230" s="478" t="s">
        <v>355</v>
      </c>
      <c r="G230" s="480" t="s">
        <v>6</v>
      </c>
      <c r="H230" s="483" t="s">
        <v>307</v>
      </c>
      <c r="I230" s="480" t="s">
        <v>415</v>
      </c>
      <c r="J230" s="482">
        <v>0</v>
      </c>
      <c r="M230" s="523"/>
      <c r="N230" s="523"/>
      <c r="O230" s="523"/>
    </row>
    <row r="231" spans="6:15" s="479" customFormat="1">
      <c r="F231" s="478" t="s">
        <v>355</v>
      </c>
      <c r="G231" s="480" t="s">
        <v>6</v>
      </c>
      <c r="H231" s="480" t="s">
        <v>53</v>
      </c>
      <c r="I231" s="480" t="s">
        <v>416</v>
      </c>
      <c r="J231" s="482" t="str">
        <f>B138</f>
        <v>CPTPP</v>
      </c>
      <c r="M231" s="523"/>
      <c r="N231" s="523"/>
      <c r="O231" s="523"/>
    </row>
    <row r="232" spans="6:15">
      <c r="F232" s="478" t="s">
        <v>361</v>
      </c>
      <c r="G232" s="254" t="s">
        <v>6</v>
      </c>
      <c r="H232" s="254" t="s">
        <v>98</v>
      </c>
      <c r="I232" s="254" t="s">
        <v>417</v>
      </c>
      <c r="J232" s="255">
        <v>0</v>
      </c>
    </row>
    <row r="233" spans="6:15" ht="16" thickBot="1">
      <c r="F233" s="478" t="s">
        <v>361</v>
      </c>
      <c r="G233" s="254" t="s">
        <v>6</v>
      </c>
      <c r="H233" s="254" t="s">
        <v>186</v>
      </c>
      <c r="I233" s="254" t="s">
        <v>418</v>
      </c>
      <c r="J233" s="255">
        <v>0</v>
      </c>
    </row>
    <row r="234" spans="6:15">
      <c r="F234" s="478" t="s">
        <v>361</v>
      </c>
      <c r="G234" s="254" t="s">
        <v>6</v>
      </c>
      <c r="H234" s="254" t="s">
        <v>88</v>
      </c>
      <c r="I234" s="254" t="s">
        <v>419</v>
      </c>
      <c r="J234" s="257">
        <v>0</v>
      </c>
    </row>
    <row r="235" spans="6:15">
      <c r="F235" s="478" t="s">
        <v>361</v>
      </c>
      <c r="G235" s="254" t="s">
        <v>6</v>
      </c>
      <c r="H235" s="254" t="s">
        <v>10</v>
      </c>
      <c r="I235" s="254" t="s">
        <v>420</v>
      </c>
      <c r="J235" s="255">
        <v>0</v>
      </c>
    </row>
    <row r="236" spans="6:15">
      <c r="F236" s="478" t="s">
        <v>361</v>
      </c>
      <c r="G236" s="254" t="s">
        <v>6</v>
      </c>
      <c r="H236" s="107" t="s">
        <v>307</v>
      </c>
      <c r="I236" s="254" t="s">
        <v>421</v>
      </c>
      <c r="J236" s="255">
        <v>0</v>
      </c>
    </row>
    <row r="237" spans="6:15" ht="16" thickBot="1">
      <c r="F237" s="478" t="s">
        <v>361</v>
      </c>
      <c r="G237" s="254" t="s">
        <v>6</v>
      </c>
      <c r="H237" s="254" t="s">
        <v>53</v>
      </c>
      <c r="I237" s="254" t="s">
        <v>422</v>
      </c>
      <c r="J237" s="255">
        <f>B132</f>
        <v>0.12280000000000001</v>
      </c>
    </row>
    <row r="238" spans="6:15">
      <c r="F238" s="249" t="s">
        <v>59</v>
      </c>
      <c r="G238" s="250" t="s">
        <v>6</v>
      </c>
      <c r="H238" s="250" t="s">
        <v>98</v>
      </c>
      <c r="I238" s="250" t="s">
        <v>251</v>
      </c>
      <c r="J238" s="251">
        <v>0</v>
      </c>
    </row>
    <row r="239" spans="6:15">
      <c r="F239" s="249" t="s">
        <v>59</v>
      </c>
      <c r="G239" s="250" t="s">
        <v>6</v>
      </c>
      <c r="H239" s="250" t="s">
        <v>186</v>
      </c>
      <c r="I239" s="250" t="s">
        <v>252</v>
      </c>
      <c r="J239" s="252">
        <v>0</v>
      </c>
    </row>
    <row r="240" spans="6:15">
      <c r="F240" s="249" t="s">
        <v>59</v>
      </c>
      <c r="G240" s="250" t="s">
        <v>6</v>
      </c>
      <c r="H240" s="250" t="s">
        <v>88</v>
      </c>
      <c r="I240" s="250" t="s">
        <v>253</v>
      </c>
      <c r="J240" s="252">
        <v>0</v>
      </c>
    </row>
    <row r="241" spans="6:10">
      <c r="F241" s="249" t="s">
        <v>59</v>
      </c>
      <c r="G241" s="250" t="s">
        <v>6</v>
      </c>
      <c r="H241" s="250" t="s">
        <v>10</v>
      </c>
      <c r="I241" s="250" t="s">
        <v>254</v>
      </c>
      <c r="J241" s="252">
        <v>0</v>
      </c>
    </row>
    <row r="242" spans="6:10">
      <c r="F242" s="249" t="s">
        <v>59</v>
      </c>
      <c r="G242" s="250" t="s">
        <v>6</v>
      </c>
      <c r="H242" s="107" t="s">
        <v>307</v>
      </c>
      <c r="I242" s="250" t="s">
        <v>313</v>
      </c>
      <c r="J242" s="252">
        <v>0</v>
      </c>
    </row>
    <row r="243" spans="6:10">
      <c r="F243" s="249" t="s">
        <v>59</v>
      </c>
      <c r="G243" s="250" t="s">
        <v>6</v>
      </c>
      <c r="H243" s="250" t="s">
        <v>53</v>
      </c>
      <c r="I243" s="250" t="s">
        <v>255</v>
      </c>
      <c r="J243" s="252">
        <f>B130</f>
        <v>0.03</v>
      </c>
    </row>
    <row r="244" spans="6:10">
      <c r="F244" s="478" t="s">
        <v>363</v>
      </c>
      <c r="G244" s="254" t="s">
        <v>6</v>
      </c>
      <c r="H244" s="254" t="s">
        <v>98</v>
      </c>
      <c r="I244" s="254" t="s">
        <v>423</v>
      </c>
      <c r="J244" s="255">
        <v>0</v>
      </c>
    </row>
    <row r="245" spans="6:10" ht="16" thickBot="1">
      <c r="F245" s="478" t="s">
        <v>363</v>
      </c>
      <c r="G245" s="254" t="s">
        <v>6</v>
      </c>
      <c r="H245" s="254" t="s">
        <v>186</v>
      </c>
      <c r="I245" s="254" t="s">
        <v>424</v>
      </c>
      <c r="J245" s="255">
        <v>0</v>
      </c>
    </row>
    <row r="246" spans="6:10">
      <c r="F246" s="478" t="s">
        <v>363</v>
      </c>
      <c r="G246" s="254" t="s">
        <v>6</v>
      </c>
      <c r="H246" s="254" t="s">
        <v>88</v>
      </c>
      <c r="I246" s="254" t="s">
        <v>425</v>
      </c>
      <c r="J246" s="257">
        <v>0</v>
      </c>
    </row>
    <row r="247" spans="6:10">
      <c r="F247" s="478" t="s">
        <v>363</v>
      </c>
      <c r="G247" s="254" t="s">
        <v>6</v>
      </c>
      <c r="H247" s="254" t="s">
        <v>10</v>
      </c>
      <c r="I247" s="254" t="s">
        <v>426</v>
      </c>
      <c r="J247" s="255">
        <v>0</v>
      </c>
    </row>
    <row r="248" spans="6:10">
      <c r="F248" s="478" t="s">
        <v>363</v>
      </c>
      <c r="G248" s="254" t="s">
        <v>6</v>
      </c>
      <c r="H248" s="107" t="s">
        <v>307</v>
      </c>
      <c r="I248" s="254" t="s">
        <v>427</v>
      </c>
      <c r="J248" s="255">
        <v>0</v>
      </c>
    </row>
    <row r="249" spans="6:10" ht="16" thickBot="1">
      <c r="F249" s="478" t="s">
        <v>363</v>
      </c>
      <c r="G249" s="254" t="s">
        <v>6</v>
      </c>
      <c r="H249" s="254" t="s">
        <v>53</v>
      </c>
      <c r="I249" s="254" t="s">
        <v>428</v>
      </c>
      <c r="J249" s="255">
        <f>B132</f>
        <v>0.12280000000000001</v>
      </c>
    </row>
    <row r="250" spans="6:10">
      <c r="F250" s="249" t="s">
        <v>130</v>
      </c>
      <c r="G250" s="250" t="s">
        <v>6</v>
      </c>
      <c r="H250" s="250" t="s">
        <v>98</v>
      </c>
      <c r="I250" s="250" t="s">
        <v>256</v>
      </c>
      <c r="J250" s="251">
        <v>0</v>
      </c>
    </row>
    <row r="251" spans="6:10">
      <c r="F251" s="249" t="s">
        <v>130</v>
      </c>
      <c r="G251" s="250" t="s">
        <v>6</v>
      </c>
      <c r="H251" s="250" t="s">
        <v>186</v>
      </c>
      <c r="I251" s="250" t="s">
        <v>257</v>
      </c>
      <c r="J251" s="252">
        <v>0</v>
      </c>
    </row>
    <row r="252" spans="6:10">
      <c r="F252" s="249" t="s">
        <v>130</v>
      </c>
      <c r="G252" s="250" t="s">
        <v>6</v>
      </c>
      <c r="H252" s="250" t="s">
        <v>88</v>
      </c>
      <c r="I252" s="250" t="s">
        <v>258</v>
      </c>
      <c r="J252" s="252">
        <v>0</v>
      </c>
    </row>
    <row r="253" spans="6:10">
      <c r="F253" s="249" t="s">
        <v>130</v>
      </c>
      <c r="G253" s="250" t="s">
        <v>6</v>
      </c>
      <c r="H253" s="250" t="s">
        <v>10</v>
      </c>
      <c r="I253" s="250" t="s">
        <v>259</v>
      </c>
      <c r="J253" s="252">
        <v>0</v>
      </c>
    </row>
    <row r="254" spans="6:10">
      <c r="F254" s="249" t="s">
        <v>130</v>
      </c>
      <c r="G254" s="250" t="s">
        <v>6</v>
      </c>
      <c r="H254" s="107" t="s">
        <v>307</v>
      </c>
      <c r="I254" s="250" t="s">
        <v>314</v>
      </c>
      <c r="J254" s="252">
        <v>0</v>
      </c>
    </row>
    <row r="255" spans="6:10">
      <c r="F255" s="249" t="s">
        <v>130</v>
      </c>
      <c r="G255" s="250" t="s">
        <v>6</v>
      </c>
      <c r="H255" s="250" t="s">
        <v>53</v>
      </c>
      <c r="I255" s="250" t="s">
        <v>260</v>
      </c>
      <c r="J255" s="252">
        <f>B131</f>
        <v>0.28160000000000002</v>
      </c>
    </row>
    <row r="256" spans="6:10">
      <c r="F256" s="478" t="s">
        <v>362</v>
      </c>
      <c r="G256" s="254" t="s">
        <v>60</v>
      </c>
      <c r="H256" s="254" t="s">
        <v>98</v>
      </c>
      <c r="I256" s="254" t="s">
        <v>429</v>
      </c>
      <c r="J256" s="255">
        <v>0</v>
      </c>
    </row>
    <row r="257" spans="6:10" ht="16" thickBot="1">
      <c r="F257" s="478" t="s">
        <v>362</v>
      </c>
      <c r="G257" s="254" t="s">
        <v>60</v>
      </c>
      <c r="H257" s="254" t="s">
        <v>186</v>
      </c>
      <c r="I257" s="254" t="s">
        <v>430</v>
      </c>
      <c r="J257" s="255">
        <f>B132</f>
        <v>0.12280000000000001</v>
      </c>
    </row>
    <row r="258" spans="6:10">
      <c r="F258" s="478" t="s">
        <v>362</v>
      </c>
      <c r="G258" s="254" t="s">
        <v>60</v>
      </c>
      <c r="H258" s="254" t="s">
        <v>88</v>
      </c>
      <c r="I258" s="254" t="s">
        <v>431</v>
      </c>
      <c r="J258" s="257">
        <f>B132</f>
        <v>0.12280000000000001</v>
      </c>
    </row>
    <row r="259" spans="6:10">
      <c r="F259" s="478" t="s">
        <v>362</v>
      </c>
      <c r="G259" s="254" t="s">
        <v>60</v>
      </c>
      <c r="H259" s="254" t="s">
        <v>10</v>
      </c>
      <c r="I259" s="254" t="s">
        <v>432</v>
      </c>
      <c r="J259" s="255">
        <f>B131</f>
        <v>0.28160000000000002</v>
      </c>
    </row>
    <row r="260" spans="6:10">
      <c r="F260" s="478" t="s">
        <v>362</v>
      </c>
      <c r="G260" s="254" t="s">
        <v>60</v>
      </c>
      <c r="H260" s="107" t="s">
        <v>307</v>
      </c>
      <c r="I260" s="254" t="s">
        <v>433</v>
      </c>
      <c r="J260" s="255">
        <v>0</v>
      </c>
    </row>
    <row r="261" spans="6:10" ht="16" thickBot="1">
      <c r="F261" s="478" t="s">
        <v>362</v>
      </c>
      <c r="G261" s="254" t="s">
        <v>60</v>
      </c>
      <c r="H261" s="254" t="s">
        <v>53</v>
      </c>
      <c r="I261" s="254" t="s">
        <v>434</v>
      </c>
      <c r="J261" s="255">
        <f>B132</f>
        <v>0.12280000000000001</v>
      </c>
    </row>
    <row r="262" spans="6:10">
      <c r="F262" s="478" t="s">
        <v>361</v>
      </c>
      <c r="G262" s="250" t="s">
        <v>60</v>
      </c>
      <c r="H262" s="250" t="s">
        <v>98</v>
      </c>
      <c r="I262" s="250" t="s">
        <v>435</v>
      </c>
      <c r="J262" s="251">
        <v>0</v>
      </c>
    </row>
    <row r="263" spans="6:10">
      <c r="F263" s="478" t="s">
        <v>361</v>
      </c>
      <c r="G263" s="250" t="s">
        <v>60</v>
      </c>
      <c r="H263" s="250" t="s">
        <v>186</v>
      </c>
      <c r="I263" s="250" t="s">
        <v>436</v>
      </c>
      <c r="J263" s="252">
        <f>B132</f>
        <v>0.12280000000000001</v>
      </c>
    </row>
    <row r="264" spans="6:10">
      <c r="F264" s="478" t="s">
        <v>361</v>
      </c>
      <c r="G264" s="250" t="s">
        <v>60</v>
      </c>
      <c r="H264" s="250" t="s">
        <v>88</v>
      </c>
      <c r="I264" s="250" t="s">
        <v>437</v>
      </c>
      <c r="J264" s="252">
        <f>B132</f>
        <v>0.12280000000000001</v>
      </c>
    </row>
    <row r="265" spans="6:10">
      <c r="F265" s="478" t="s">
        <v>361</v>
      </c>
      <c r="G265" s="250" t="s">
        <v>60</v>
      </c>
      <c r="H265" s="250" t="s">
        <v>10</v>
      </c>
      <c r="I265" s="250" t="s">
        <v>438</v>
      </c>
      <c r="J265" s="252">
        <f>B132</f>
        <v>0.12280000000000001</v>
      </c>
    </row>
    <row r="266" spans="6:10">
      <c r="F266" s="478" t="s">
        <v>361</v>
      </c>
      <c r="G266" s="250" t="s">
        <v>60</v>
      </c>
      <c r="H266" s="107" t="s">
        <v>307</v>
      </c>
      <c r="I266" s="250" t="s">
        <v>439</v>
      </c>
      <c r="J266" s="252">
        <v>0</v>
      </c>
    </row>
    <row r="267" spans="6:10">
      <c r="F267" s="478" t="s">
        <v>361</v>
      </c>
      <c r="G267" s="250" t="s">
        <v>60</v>
      </c>
      <c r="H267" s="250" t="s">
        <v>53</v>
      </c>
      <c r="I267" s="250" t="s">
        <v>440</v>
      </c>
      <c r="J267" s="252">
        <f>B132</f>
        <v>0.12280000000000001</v>
      </c>
    </row>
    <row r="268" spans="6:10">
      <c r="F268" s="253" t="s">
        <v>59</v>
      </c>
      <c r="G268" s="254" t="s">
        <v>60</v>
      </c>
      <c r="H268" s="254" t="s">
        <v>98</v>
      </c>
      <c r="I268" s="254" t="s">
        <v>261</v>
      </c>
      <c r="J268" s="255">
        <v>0</v>
      </c>
    </row>
    <row r="269" spans="6:10" ht="16" thickBot="1">
      <c r="F269" s="256" t="s">
        <v>59</v>
      </c>
      <c r="G269" s="254" t="s">
        <v>60</v>
      </c>
      <c r="H269" s="254" t="s">
        <v>186</v>
      </c>
      <c r="I269" s="254" t="s">
        <v>262</v>
      </c>
      <c r="J269" s="255">
        <f>B130</f>
        <v>0.03</v>
      </c>
    </row>
    <row r="270" spans="6:10">
      <c r="F270" s="256" t="s">
        <v>59</v>
      </c>
      <c r="G270" s="254" t="s">
        <v>60</v>
      </c>
      <c r="H270" s="254" t="s">
        <v>88</v>
      </c>
      <c r="I270" s="254" t="s">
        <v>263</v>
      </c>
      <c r="J270" s="257">
        <f>B130</f>
        <v>0.03</v>
      </c>
    </row>
    <row r="271" spans="6:10">
      <c r="F271" s="256" t="s">
        <v>59</v>
      </c>
      <c r="G271" s="254" t="s">
        <v>60</v>
      </c>
      <c r="H271" s="254" t="s">
        <v>10</v>
      </c>
      <c r="I271" s="254" t="s">
        <v>264</v>
      </c>
      <c r="J271" s="255">
        <f>B129</f>
        <v>0</v>
      </c>
    </row>
    <row r="272" spans="6:10">
      <c r="F272" s="256" t="s">
        <v>59</v>
      </c>
      <c r="G272" s="254" t="s">
        <v>60</v>
      </c>
      <c r="H272" s="107" t="s">
        <v>307</v>
      </c>
      <c r="I272" s="254" t="s">
        <v>315</v>
      </c>
      <c r="J272" s="255">
        <v>0</v>
      </c>
    </row>
    <row r="273" spans="6:10" ht="16" thickBot="1">
      <c r="F273" s="256" t="s">
        <v>59</v>
      </c>
      <c r="G273" s="254" t="s">
        <v>60</v>
      </c>
      <c r="H273" s="254" t="s">
        <v>53</v>
      </c>
      <c r="I273" s="254" t="s">
        <v>265</v>
      </c>
      <c r="J273" s="255">
        <f>B130</f>
        <v>0.03</v>
      </c>
    </row>
    <row r="274" spans="6:10">
      <c r="F274" s="478" t="s">
        <v>363</v>
      </c>
      <c r="G274" s="250" t="s">
        <v>60</v>
      </c>
      <c r="H274" s="250" t="s">
        <v>98</v>
      </c>
      <c r="I274" s="250" t="s">
        <v>441</v>
      </c>
      <c r="J274" s="251">
        <v>0</v>
      </c>
    </row>
    <row r="275" spans="6:10">
      <c r="F275" s="478" t="s">
        <v>363</v>
      </c>
      <c r="G275" s="250" t="s">
        <v>60</v>
      </c>
      <c r="H275" s="250" t="s">
        <v>186</v>
      </c>
      <c r="I275" s="250" t="s">
        <v>442</v>
      </c>
      <c r="J275" s="252">
        <f>B132</f>
        <v>0.12280000000000001</v>
      </c>
    </row>
    <row r="276" spans="6:10">
      <c r="F276" s="478" t="s">
        <v>363</v>
      </c>
      <c r="G276" s="250" t="s">
        <v>60</v>
      </c>
      <c r="H276" s="250" t="s">
        <v>88</v>
      </c>
      <c r="I276" s="250" t="s">
        <v>443</v>
      </c>
      <c r="J276" s="252">
        <f>B132</f>
        <v>0.12280000000000001</v>
      </c>
    </row>
    <row r="277" spans="6:10">
      <c r="F277" s="478" t="s">
        <v>363</v>
      </c>
      <c r="G277" s="250" t="s">
        <v>60</v>
      </c>
      <c r="H277" s="250" t="s">
        <v>10</v>
      </c>
      <c r="I277" s="250" t="s">
        <v>444</v>
      </c>
      <c r="J277" s="252">
        <f>B131</f>
        <v>0.28160000000000002</v>
      </c>
    </row>
    <row r="278" spans="6:10">
      <c r="F278" s="478" t="s">
        <v>363</v>
      </c>
      <c r="G278" s="250" t="s">
        <v>60</v>
      </c>
      <c r="H278" s="107" t="s">
        <v>307</v>
      </c>
      <c r="I278" s="250" t="s">
        <v>445</v>
      </c>
      <c r="J278" s="252">
        <v>0</v>
      </c>
    </row>
    <row r="279" spans="6:10">
      <c r="F279" s="478" t="s">
        <v>363</v>
      </c>
      <c r="G279" s="250" t="s">
        <v>60</v>
      </c>
      <c r="H279" s="250" t="s">
        <v>53</v>
      </c>
      <c r="I279" s="250" t="s">
        <v>446</v>
      </c>
      <c r="J279" s="252">
        <f>B132</f>
        <v>0.12280000000000001</v>
      </c>
    </row>
    <row r="280" spans="6:10">
      <c r="F280" s="253" t="s">
        <v>130</v>
      </c>
      <c r="G280" s="254" t="s">
        <v>60</v>
      </c>
      <c r="H280" s="254" t="s">
        <v>98</v>
      </c>
      <c r="I280" s="254" t="s">
        <v>266</v>
      </c>
      <c r="J280" s="255">
        <v>0</v>
      </c>
    </row>
    <row r="281" spans="6:10" ht="16" thickBot="1">
      <c r="F281" s="256" t="s">
        <v>130</v>
      </c>
      <c r="G281" s="254" t="s">
        <v>60</v>
      </c>
      <c r="H281" s="254" t="s">
        <v>186</v>
      </c>
      <c r="I281" s="254" t="s">
        <v>267</v>
      </c>
      <c r="J281" s="255">
        <f>B131</f>
        <v>0.28160000000000002</v>
      </c>
    </row>
    <row r="282" spans="6:10">
      <c r="F282" s="256" t="s">
        <v>130</v>
      </c>
      <c r="G282" s="254" t="s">
        <v>60</v>
      </c>
      <c r="H282" s="254" t="s">
        <v>88</v>
      </c>
      <c r="I282" s="254" t="s">
        <v>268</v>
      </c>
      <c r="J282" s="257">
        <f>B131</f>
        <v>0.28160000000000002</v>
      </c>
    </row>
    <row r="283" spans="6:10">
      <c r="F283" s="256" t="s">
        <v>130</v>
      </c>
      <c r="G283" s="254" t="s">
        <v>60</v>
      </c>
      <c r="H283" s="254" t="s">
        <v>10</v>
      </c>
      <c r="I283" s="254" t="s">
        <v>269</v>
      </c>
      <c r="J283" s="255">
        <f>B131</f>
        <v>0.28160000000000002</v>
      </c>
    </row>
    <row r="284" spans="6:10">
      <c r="F284" s="256" t="s">
        <v>130</v>
      </c>
      <c r="G284" s="254" t="s">
        <v>60</v>
      </c>
      <c r="H284" s="107" t="s">
        <v>307</v>
      </c>
      <c r="I284" s="254" t="s">
        <v>316</v>
      </c>
      <c r="J284" s="255">
        <v>0</v>
      </c>
    </row>
    <row r="285" spans="6:10">
      <c r="F285" s="256" t="s">
        <v>130</v>
      </c>
      <c r="G285" s="254" t="s">
        <v>60</v>
      </c>
      <c r="H285" s="254" t="s">
        <v>53</v>
      </c>
      <c r="I285" s="254" t="s">
        <v>270</v>
      </c>
      <c r="J285" s="255">
        <f>B131</f>
        <v>0.28160000000000002</v>
      </c>
    </row>
    <row r="286" spans="6:10">
      <c r="F286" s="258" t="s">
        <v>197</v>
      </c>
      <c r="G286" s="254" t="s">
        <v>60</v>
      </c>
      <c r="H286" s="254" t="s">
        <v>98</v>
      </c>
      <c r="I286" s="254" t="s">
        <v>271</v>
      </c>
      <c r="J286" s="255">
        <v>0</v>
      </c>
    </row>
    <row r="287" spans="6:10">
      <c r="F287" s="258" t="s">
        <v>197</v>
      </c>
      <c r="G287" s="254" t="s">
        <v>60</v>
      </c>
      <c r="H287" s="254" t="s">
        <v>186</v>
      </c>
      <c r="I287" s="254" t="s">
        <v>272</v>
      </c>
      <c r="J287" s="255">
        <f t="shared" ref="J287:J291" si="0">B$33</f>
        <v>0.12280000000000001</v>
      </c>
    </row>
    <row r="288" spans="6:10">
      <c r="F288" s="258" t="s">
        <v>197</v>
      </c>
      <c r="G288" s="254" t="s">
        <v>60</v>
      </c>
      <c r="H288" s="254" t="s">
        <v>88</v>
      </c>
      <c r="I288" s="254" t="s">
        <v>273</v>
      </c>
      <c r="J288" s="255">
        <f t="shared" si="0"/>
        <v>0.12280000000000001</v>
      </c>
    </row>
    <row r="289" spans="6:10">
      <c r="F289" s="258" t="s">
        <v>197</v>
      </c>
      <c r="G289" s="254" t="s">
        <v>60</v>
      </c>
      <c r="H289" s="254" t="s">
        <v>10</v>
      </c>
      <c r="I289" s="254" t="s">
        <v>274</v>
      </c>
      <c r="J289" s="255">
        <f t="shared" si="0"/>
        <v>0.12280000000000001</v>
      </c>
    </row>
    <row r="290" spans="6:10">
      <c r="F290" s="258" t="s">
        <v>197</v>
      </c>
      <c r="G290" s="254" t="s">
        <v>60</v>
      </c>
      <c r="H290" s="107" t="s">
        <v>307</v>
      </c>
      <c r="I290" s="254" t="s">
        <v>317</v>
      </c>
      <c r="J290" s="255">
        <v>0</v>
      </c>
    </row>
    <row r="291" spans="6:10">
      <c r="F291" s="258" t="s">
        <v>197</v>
      </c>
      <c r="G291" s="254" t="s">
        <v>60</v>
      </c>
      <c r="H291" s="254" t="s">
        <v>53</v>
      </c>
      <c r="I291" s="254" t="s">
        <v>275</v>
      </c>
      <c r="J291" s="255">
        <f t="shared" si="0"/>
        <v>0.12280000000000001</v>
      </c>
    </row>
    <row r="292" spans="6:10">
      <c r="F292" s="258" t="s">
        <v>197</v>
      </c>
      <c r="G292" s="254" t="s">
        <v>6</v>
      </c>
      <c r="H292" s="254" t="s">
        <v>98</v>
      </c>
      <c r="I292" s="254" t="s">
        <v>276</v>
      </c>
      <c r="J292" s="255">
        <v>0</v>
      </c>
    </row>
    <row r="293" spans="6:10">
      <c r="F293" s="258" t="s">
        <v>197</v>
      </c>
      <c r="G293" s="254" t="s">
        <v>6</v>
      </c>
      <c r="H293" s="254" t="s">
        <v>186</v>
      </c>
      <c r="I293" s="254" t="s">
        <v>277</v>
      </c>
      <c r="J293" s="255">
        <v>0</v>
      </c>
    </row>
    <row r="294" spans="6:10">
      <c r="F294" s="258" t="s">
        <v>197</v>
      </c>
      <c r="G294" s="254" t="s">
        <v>6</v>
      </c>
      <c r="H294" s="254" t="s">
        <v>88</v>
      </c>
      <c r="I294" s="254" t="s">
        <v>278</v>
      </c>
      <c r="J294" s="255">
        <f t="shared" ref="J294:J297" si="1">B$33</f>
        <v>0.12280000000000001</v>
      </c>
    </row>
    <row r="295" spans="6:10">
      <c r="F295" s="258" t="s">
        <v>197</v>
      </c>
      <c r="G295" s="254" t="s">
        <v>6</v>
      </c>
      <c r="H295" s="254" t="s">
        <v>10</v>
      </c>
      <c r="I295" s="254" t="s">
        <v>279</v>
      </c>
      <c r="J295" s="255">
        <f t="shared" ref="J295" si="2">B$33</f>
        <v>0.12280000000000001</v>
      </c>
    </row>
    <row r="296" spans="6:10">
      <c r="F296" s="258" t="s">
        <v>197</v>
      </c>
      <c r="G296" s="254" t="s">
        <v>6</v>
      </c>
      <c r="H296" s="107" t="s">
        <v>307</v>
      </c>
      <c r="I296" s="254" t="s">
        <v>318</v>
      </c>
      <c r="J296" s="255">
        <v>0</v>
      </c>
    </row>
    <row r="297" spans="6:10">
      <c r="F297" s="258" t="s">
        <v>197</v>
      </c>
      <c r="G297" s="259" t="s">
        <v>6</v>
      </c>
      <c r="H297" s="259" t="s">
        <v>53</v>
      </c>
      <c r="I297" s="259" t="s">
        <v>280</v>
      </c>
      <c r="J297" s="260">
        <f t="shared" si="1"/>
        <v>0.12280000000000001</v>
      </c>
    </row>
    <row r="298" spans="6:10">
      <c r="F298" s="261" t="s">
        <v>133</v>
      </c>
      <c r="G298" s="262" t="s">
        <v>6</v>
      </c>
      <c r="H298" s="263" t="s">
        <v>53</v>
      </c>
      <c r="I298" s="262" t="str">
        <f>F298&amp;G298&amp;H298</f>
        <v>GinYOther</v>
      </c>
      <c r="J298" s="264">
        <f>B$125</f>
        <v>4.9200000000000001E-2</v>
      </c>
    </row>
    <row r="299" spans="6:10">
      <c r="F299" s="261" t="s">
        <v>133</v>
      </c>
      <c r="G299" s="262" t="s">
        <v>6</v>
      </c>
      <c r="H299" s="263" t="s">
        <v>98</v>
      </c>
      <c r="I299" s="262" t="str">
        <f t="shared" ref="I299:I302" si="3">F299&amp;G299&amp;H299</f>
        <v>GinYDomestic</v>
      </c>
      <c r="J299" s="262">
        <v>0</v>
      </c>
    </row>
    <row r="300" spans="6:10">
      <c r="F300" s="261" t="s">
        <v>133</v>
      </c>
      <c r="G300" s="262" t="s">
        <v>6</v>
      </c>
      <c r="H300" s="263" t="s">
        <v>186</v>
      </c>
      <c r="I300" s="262" t="str">
        <f t="shared" si="3"/>
        <v>GinYCUSMA</v>
      </c>
      <c r="J300" s="262">
        <v>0</v>
      </c>
    </row>
    <row r="301" spans="6:10">
      <c r="F301" s="261" t="s">
        <v>133</v>
      </c>
      <c r="G301" s="262" t="s">
        <v>6</v>
      </c>
      <c r="H301" s="263" t="s">
        <v>88</v>
      </c>
      <c r="I301" s="262" t="str">
        <f t="shared" si="3"/>
        <v>GinYEU/CETA</v>
      </c>
      <c r="J301" s="264">
        <v>0</v>
      </c>
    </row>
    <row r="302" spans="6:10">
      <c r="F302" s="261" t="s">
        <v>133</v>
      </c>
      <c r="G302" s="262" t="s">
        <v>6</v>
      </c>
      <c r="H302" s="263" t="s">
        <v>10</v>
      </c>
      <c r="I302" s="262" t="str">
        <f t="shared" si="3"/>
        <v>GinYCPTPP</v>
      </c>
      <c r="J302" s="264">
        <v>0</v>
      </c>
    </row>
    <row r="303" spans="6:10">
      <c r="F303" s="261" t="s">
        <v>133</v>
      </c>
      <c r="G303" s="262" t="s">
        <v>60</v>
      </c>
      <c r="H303" s="263" t="s">
        <v>53</v>
      </c>
      <c r="I303" s="262" t="str">
        <f>F303&amp;G303&amp;H303</f>
        <v>GinNOther</v>
      </c>
      <c r="J303" s="264">
        <f t="shared" ref="J303:J307" si="4">B$125</f>
        <v>4.9200000000000001E-2</v>
      </c>
    </row>
    <row r="304" spans="6:10">
      <c r="F304" s="261" t="s">
        <v>133</v>
      </c>
      <c r="G304" s="262" t="s">
        <v>60</v>
      </c>
      <c r="H304" s="263" t="s">
        <v>98</v>
      </c>
      <c r="I304" s="262" t="str">
        <f t="shared" ref="I304:I308" si="5">F304&amp;G304&amp;H304</f>
        <v>GinNDomestic</v>
      </c>
      <c r="J304" s="264">
        <v>0</v>
      </c>
    </row>
    <row r="305" spans="6:10">
      <c r="F305" s="261" t="s">
        <v>133</v>
      </c>
      <c r="G305" s="262" t="s">
        <v>60</v>
      </c>
      <c r="H305" s="263" t="s">
        <v>186</v>
      </c>
      <c r="I305" s="262" t="str">
        <f t="shared" si="5"/>
        <v>GinNCUSMA</v>
      </c>
      <c r="J305" s="264">
        <f t="shared" si="4"/>
        <v>4.9200000000000001E-2</v>
      </c>
    </row>
    <row r="306" spans="6:10">
      <c r="F306" s="261" t="s">
        <v>133</v>
      </c>
      <c r="G306" s="262" t="s">
        <v>60</v>
      </c>
      <c r="H306" s="263" t="s">
        <v>88</v>
      </c>
      <c r="I306" s="262" t="str">
        <f t="shared" si="5"/>
        <v>GinNEU/CETA</v>
      </c>
      <c r="J306" s="264">
        <f t="shared" si="4"/>
        <v>4.9200000000000001E-2</v>
      </c>
    </row>
    <row r="307" spans="6:10">
      <c r="F307" s="261" t="s">
        <v>133</v>
      </c>
      <c r="G307" s="262" t="s">
        <v>60</v>
      </c>
      <c r="H307" s="263" t="s">
        <v>10</v>
      </c>
      <c r="I307" s="262" t="str">
        <f t="shared" si="5"/>
        <v>GinNCPTPP</v>
      </c>
      <c r="J307" s="264">
        <f t="shared" si="4"/>
        <v>4.9200000000000001E-2</v>
      </c>
    </row>
    <row r="308" spans="6:10">
      <c r="F308" s="261" t="s">
        <v>133</v>
      </c>
      <c r="G308" s="262" t="s">
        <v>6</v>
      </c>
      <c r="H308" s="107" t="s">
        <v>307</v>
      </c>
      <c r="I308" s="262" t="str">
        <f t="shared" si="5"/>
        <v>GinYCUFTA</v>
      </c>
      <c r="J308" s="264">
        <v>0</v>
      </c>
    </row>
    <row r="309" spans="6:10">
      <c r="F309" s="261" t="s">
        <v>133</v>
      </c>
      <c r="G309" s="262" t="s">
        <v>60</v>
      </c>
      <c r="H309" s="107" t="s">
        <v>307</v>
      </c>
      <c r="I309" s="262" t="str">
        <f>F309&amp;G309&amp;H309</f>
        <v>GinNCUFTA</v>
      </c>
      <c r="J309" s="264">
        <v>0</v>
      </c>
    </row>
    <row r="310" spans="6:10">
      <c r="F310" s="265" t="s">
        <v>178</v>
      </c>
      <c r="G310" s="266" t="s">
        <v>6</v>
      </c>
      <c r="H310" s="267" t="s">
        <v>53</v>
      </c>
      <c r="I310" s="266" t="str">
        <f>F310&amp;G310&amp;H310</f>
        <v>Vodka, Liqueurs, and OtherYOther</v>
      </c>
      <c r="J310" s="268">
        <f>B$126</f>
        <v>0.12280000000000001</v>
      </c>
    </row>
    <row r="311" spans="6:10">
      <c r="F311" s="265" t="s">
        <v>178</v>
      </c>
      <c r="G311" s="266" t="s">
        <v>6</v>
      </c>
      <c r="H311" s="267" t="s">
        <v>98</v>
      </c>
      <c r="I311" s="266" t="str">
        <f t="shared" ref="I311:I314" si="6">F311&amp;G311&amp;H311</f>
        <v>Vodka, Liqueurs, and OtherYDomestic</v>
      </c>
      <c r="J311" s="266">
        <v>0</v>
      </c>
    </row>
    <row r="312" spans="6:10">
      <c r="F312" s="265" t="s">
        <v>178</v>
      </c>
      <c r="G312" s="266" t="s">
        <v>6</v>
      </c>
      <c r="H312" s="267" t="s">
        <v>186</v>
      </c>
      <c r="I312" s="266" t="str">
        <f t="shared" si="6"/>
        <v>Vodka, Liqueurs, and OtherYCUSMA</v>
      </c>
      <c r="J312" s="266">
        <v>0</v>
      </c>
    </row>
    <row r="313" spans="6:10">
      <c r="F313" s="265" t="s">
        <v>178</v>
      </c>
      <c r="G313" s="266" t="s">
        <v>6</v>
      </c>
      <c r="H313" s="267" t="s">
        <v>88</v>
      </c>
      <c r="I313" s="266" t="str">
        <f t="shared" si="6"/>
        <v>Vodka, Liqueurs, and OtherYEU/CETA</v>
      </c>
      <c r="J313" s="268">
        <v>0</v>
      </c>
    </row>
    <row r="314" spans="6:10">
      <c r="F314" s="265" t="s">
        <v>178</v>
      </c>
      <c r="G314" s="266" t="s">
        <v>6</v>
      </c>
      <c r="H314" s="267" t="s">
        <v>10</v>
      </c>
      <c r="I314" s="266" t="str">
        <f t="shared" si="6"/>
        <v>Vodka, Liqueurs, and OtherYCPTPP</v>
      </c>
      <c r="J314" s="268">
        <v>0</v>
      </c>
    </row>
    <row r="315" spans="6:10">
      <c r="F315" s="265" t="s">
        <v>178</v>
      </c>
      <c r="G315" s="266" t="s">
        <v>60</v>
      </c>
      <c r="H315" s="267" t="s">
        <v>53</v>
      </c>
      <c r="I315" s="266" t="str">
        <f>F315&amp;G315&amp;H315</f>
        <v>Vodka, Liqueurs, and OtherNOther</v>
      </c>
      <c r="J315" s="268">
        <f t="shared" ref="J315:J319" si="7">B$126</f>
        <v>0.12280000000000001</v>
      </c>
    </row>
    <row r="316" spans="6:10">
      <c r="F316" s="265" t="s">
        <v>178</v>
      </c>
      <c r="G316" s="266" t="s">
        <v>60</v>
      </c>
      <c r="H316" s="267" t="s">
        <v>98</v>
      </c>
      <c r="I316" s="266" t="str">
        <f t="shared" ref="I316:I320" si="8">F316&amp;G316&amp;H316</f>
        <v>Vodka, Liqueurs, and OtherNDomestic</v>
      </c>
      <c r="J316" s="268">
        <v>0</v>
      </c>
    </row>
    <row r="317" spans="6:10">
      <c r="F317" s="265" t="s">
        <v>178</v>
      </c>
      <c r="G317" s="266" t="s">
        <v>60</v>
      </c>
      <c r="H317" s="267" t="s">
        <v>186</v>
      </c>
      <c r="I317" s="266" t="str">
        <f t="shared" si="8"/>
        <v>Vodka, Liqueurs, and OtherNCUSMA</v>
      </c>
      <c r="J317" s="268">
        <f t="shared" si="7"/>
        <v>0.12280000000000001</v>
      </c>
    </row>
    <row r="318" spans="6:10">
      <c r="F318" s="265" t="s">
        <v>178</v>
      </c>
      <c r="G318" s="266" t="s">
        <v>60</v>
      </c>
      <c r="H318" s="267" t="s">
        <v>88</v>
      </c>
      <c r="I318" s="266" t="str">
        <f t="shared" si="8"/>
        <v>Vodka, Liqueurs, and OtherNEU/CETA</v>
      </c>
      <c r="J318" s="268">
        <f t="shared" si="7"/>
        <v>0.12280000000000001</v>
      </c>
    </row>
    <row r="319" spans="6:10">
      <c r="F319" s="265" t="s">
        <v>178</v>
      </c>
      <c r="G319" s="266" t="s">
        <v>60</v>
      </c>
      <c r="H319" s="267" t="s">
        <v>10</v>
      </c>
      <c r="I319" s="266" t="str">
        <f t="shared" si="8"/>
        <v>Vodka, Liqueurs, and OtherNCPTPP</v>
      </c>
      <c r="J319" s="268">
        <f t="shared" si="7"/>
        <v>0.12280000000000001</v>
      </c>
    </row>
    <row r="320" spans="6:10">
      <c r="F320" s="265" t="s">
        <v>178</v>
      </c>
      <c r="G320" s="266" t="s">
        <v>6</v>
      </c>
      <c r="H320" s="107" t="s">
        <v>307</v>
      </c>
      <c r="I320" s="266" t="str">
        <f t="shared" si="8"/>
        <v>Vodka, Liqueurs, and OtherYCUFTA</v>
      </c>
      <c r="J320" s="268">
        <v>0</v>
      </c>
    </row>
    <row r="321" spans="6:10">
      <c r="F321" s="265" t="s">
        <v>178</v>
      </c>
      <c r="G321" s="266" t="s">
        <v>60</v>
      </c>
      <c r="H321" s="107" t="s">
        <v>307</v>
      </c>
      <c r="I321" s="266" t="str">
        <f>F321&amp;G321&amp;H321</f>
        <v>Vodka, Liqueurs, and OtherNCUFTA</v>
      </c>
      <c r="J321" s="268">
        <v>0</v>
      </c>
    </row>
    <row r="322" spans="6:10">
      <c r="F322" s="261" t="s">
        <v>51</v>
      </c>
      <c r="G322" s="262" t="s">
        <v>6</v>
      </c>
      <c r="H322" s="263" t="s">
        <v>53</v>
      </c>
      <c r="I322" s="262" t="str">
        <f>F322&amp;G322&amp;H322</f>
        <v>RumYOther</v>
      </c>
      <c r="J322" s="264">
        <f>B$127</f>
        <v>0.24560000000000001</v>
      </c>
    </row>
    <row r="323" spans="6:10">
      <c r="F323" s="261" t="s">
        <v>51</v>
      </c>
      <c r="G323" s="262" t="s">
        <v>6</v>
      </c>
      <c r="H323" s="263" t="s">
        <v>98</v>
      </c>
      <c r="I323" s="262" t="str">
        <f t="shared" ref="I323:I326" si="9">F323&amp;G323&amp;H323</f>
        <v>RumYDomestic</v>
      </c>
      <c r="J323" s="262">
        <v>0</v>
      </c>
    </row>
    <row r="324" spans="6:10">
      <c r="F324" s="261" t="s">
        <v>51</v>
      </c>
      <c r="G324" s="262" t="s">
        <v>6</v>
      </c>
      <c r="H324" s="263" t="s">
        <v>186</v>
      </c>
      <c r="I324" s="262" t="str">
        <f t="shared" si="9"/>
        <v>RumYCUSMA</v>
      </c>
      <c r="J324" s="262">
        <v>0</v>
      </c>
    </row>
    <row r="325" spans="6:10">
      <c r="F325" s="261" t="s">
        <v>51</v>
      </c>
      <c r="G325" s="262" t="s">
        <v>6</v>
      </c>
      <c r="H325" s="263" t="s">
        <v>88</v>
      </c>
      <c r="I325" s="262" t="str">
        <f t="shared" si="9"/>
        <v>RumYEU/CETA</v>
      </c>
      <c r="J325" s="264">
        <v>0</v>
      </c>
    </row>
    <row r="326" spans="6:10">
      <c r="F326" s="261" t="s">
        <v>51</v>
      </c>
      <c r="G326" s="262" t="s">
        <v>6</v>
      </c>
      <c r="H326" s="263" t="s">
        <v>10</v>
      </c>
      <c r="I326" s="262" t="str">
        <f t="shared" si="9"/>
        <v>RumYCPTPP</v>
      </c>
      <c r="J326" s="264">
        <v>0</v>
      </c>
    </row>
    <row r="327" spans="6:10">
      <c r="F327" s="261" t="s">
        <v>51</v>
      </c>
      <c r="G327" s="262" t="s">
        <v>60</v>
      </c>
      <c r="H327" s="263" t="s">
        <v>53</v>
      </c>
      <c r="I327" s="262" t="str">
        <f>F327&amp;G327&amp;H327</f>
        <v>RumNOther</v>
      </c>
      <c r="J327" s="264">
        <f t="shared" ref="J327:J331" si="10">B$127</f>
        <v>0.24560000000000001</v>
      </c>
    </row>
    <row r="328" spans="6:10">
      <c r="F328" s="261" t="s">
        <v>51</v>
      </c>
      <c r="G328" s="262" t="s">
        <v>60</v>
      </c>
      <c r="H328" s="263" t="s">
        <v>98</v>
      </c>
      <c r="I328" s="262" t="str">
        <f t="shared" ref="I328:I332" si="11">F328&amp;G328&amp;H328</f>
        <v>RumNDomestic</v>
      </c>
      <c r="J328" s="264">
        <v>0</v>
      </c>
    </row>
    <row r="329" spans="6:10">
      <c r="F329" s="261" t="s">
        <v>51</v>
      </c>
      <c r="G329" s="262" t="s">
        <v>60</v>
      </c>
      <c r="H329" s="263" t="s">
        <v>186</v>
      </c>
      <c r="I329" s="262" t="str">
        <f t="shared" si="11"/>
        <v>RumNCUSMA</v>
      </c>
      <c r="J329" s="264">
        <f t="shared" si="10"/>
        <v>0.24560000000000001</v>
      </c>
    </row>
    <row r="330" spans="6:10">
      <c r="F330" s="261" t="s">
        <v>51</v>
      </c>
      <c r="G330" s="262" t="s">
        <v>60</v>
      </c>
      <c r="H330" s="263" t="s">
        <v>88</v>
      </c>
      <c r="I330" s="262" t="str">
        <f t="shared" si="11"/>
        <v>RumNEU/CETA</v>
      </c>
      <c r="J330" s="264">
        <f t="shared" si="10"/>
        <v>0.24560000000000001</v>
      </c>
    </row>
    <row r="331" spans="6:10">
      <c r="F331" s="261" t="s">
        <v>51</v>
      </c>
      <c r="G331" s="262" t="s">
        <v>60</v>
      </c>
      <c r="H331" s="263" t="s">
        <v>10</v>
      </c>
      <c r="I331" s="262" t="str">
        <f t="shared" si="11"/>
        <v>RumNCPTPP</v>
      </c>
      <c r="J331" s="264">
        <f t="shared" si="10"/>
        <v>0.24560000000000001</v>
      </c>
    </row>
    <row r="332" spans="6:10">
      <c r="F332" s="261" t="s">
        <v>51</v>
      </c>
      <c r="G332" s="262" t="s">
        <v>6</v>
      </c>
      <c r="H332" s="107" t="s">
        <v>307</v>
      </c>
      <c r="I332" s="262" t="str">
        <f t="shared" si="11"/>
        <v>RumYCUFTA</v>
      </c>
      <c r="J332" s="264">
        <v>0</v>
      </c>
    </row>
    <row r="333" spans="6:10">
      <c r="F333" s="261" t="s">
        <v>51</v>
      </c>
      <c r="G333" s="262" t="s">
        <v>60</v>
      </c>
      <c r="H333" s="107" t="s">
        <v>307</v>
      </c>
      <c r="I333" s="262" t="str">
        <f>F333&amp;G333&amp;H333</f>
        <v>RumNCUFTA</v>
      </c>
      <c r="J333" s="264">
        <v>0</v>
      </c>
    </row>
    <row r="334" spans="6:10">
      <c r="F334" s="269" t="s">
        <v>131</v>
      </c>
      <c r="G334" s="262" t="s">
        <v>6</v>
      </c>
      <c r="H334" s="263" t="s">
        <v>53</v>
      </c>
      <c r="I334" s="262" t="str">
        <f>F334&amp;G334&amp;H334</f>
        <v>Whisky, Tequila, BrandyYOther</v>
      </c>
      <c r="J334" s="264">
        <v>0</v>
      </c>
    </row>
    <row r="335" spans="6:10">
      <c r="F335" s="269" t="s">
        <v>131</v>
      </c>
      <c r="G335" s="262" t="s">
        <v>6</v>
      </c>
      <c r="H335" s="263" t="s">
        <v>98</v>
      </c>
      <c r="I335" s="262" t="str">
        <f t="shared" ref="I335:I338" si="12">F335&amp;G335&amp;H335</f>
        <v>Whisky, Tequila, BrandyYDomestic</v>
      </c>
      <c r="J335" s="264">
        <v>0</v>
      </c>
    </row>
    <row r="336" spans="6:10">
      <c r="F336" s="269" t="s">
        <v>131</v>
      </c>
      <c r="G336" s="262" t="s">
        <v>6</v>
      </c>
      <c r="H336" s="263" t="s">
        <v>186</v>
      </c>
      <c r="I336" s="262" t="str">
        <f t="shared" si="12"/>
        <v>Whisky, Tequila, BrandyYCUSMA</v>
      </c>
      <c r="J336" s="264">
        <v>0</v>
      </c>
    </row>
    <row r="337" spans="6:10">
      <c r="F337" s="269" t="s">
        <v>131</v>
      </c>
      <c r="G337" s="262" t="s">
        <v>6</v>
      </c>
      <c r="H337" s="263" t="s">
        <v>88</v>
      </c>
      <c r="I337" s="262" t="str">
        <f t="shared" si="12"/>
        <v>Whisky, Tequila, BrandyYEU/CETA</v>
      </c>
      <c r="J337" s="264">
        <v>0</v>
      </c>
    </row>
    <row r="338" spans="6:10">
      <c r="F338" s="269" t="s">
        <v>131</v>
      </c>
      <c r="G338" s="262" t="s">
        <v>6</v>
      </c>
      <c r="H338" s="263" t="s">
        <v>10</v>
      </c>
      <c r="I338" s="262" t="str">
        <f t="shared" si="12"/>
        <v>Whisky, Tequila, BrandyYCPTPP</v>
      </c>
      <c r="J338" s="264">
        <v>0</v>
      </c>
    </row>
    <row r="339" spans="6:10">
      <c r="F339" s="269" t="s">
        <v>131</v>
      </c>
      <c r="G339" s="262" t="s">
        <v>60</v>
      </c>
      <c r="H339" s="263" t="s">
        <v>53</v>
      </c>
      <c r="I339" s="262" t="str">
        <f>F339&amp;G339&amp;H339</f>
        <v>Whisky, Tequila, BrandyNOther</v>
      </c>
      <c r="J339" s="264">
        <v>0</v>
      </c>
    </row>
    <row r="340" spans="6:10">
      <c r="F340" s="269" t="s">
        <v>131</v>
      </c>
      <c r="G340" s="262" t="s">
        <v>60</v>
      </c>
      <c r="H340" s="263" t="s">
        <v>98</v>
      </c>
      <c r="I340" s="262" t="str">
        <f t="shared" ref="I340:I344" si="13">F340&amp;G340&amp;H340</f>
        <v>Whisky, Tequila, BrandyNDomestic</v>
      </c>
      <c r="J340" s="264">
        <v>0</v>
      </c>
    </row>
    <row r="341" spans="6:10">
      <c r="F341" s="269" t="s">
        <v>131</v>
      </c>
      <c r="G341" s="262" t="s">
        <v>60</v>
      </c>
      <c r="H341" s="263" t="s">
        <v>186</v>
      </c>
      <c r="I341" s="262" t="str">
        <f t="shared" si="13"/>
        <v>Whisky, Tequila, BrandyNCUSMA</v>
      </c>
      <c r="J341" s="264">
        <v>0</v>
      </c>
    </row>
    <row r="342" spans="6:10">
      <c r="F342" s="269" t="s">
        <v>131</v>
      </c>
      <c r="G342" s="262" t="s">
        <v>60</v>
      </c>
      <c r="H342" s="263" t="s">
        <v>88</v>
      </c>
      <c r="I342" s="262" t="str">
        <f t="shared" si="13"/>
        <v>Whisky, Tequila, BrandyNEU/CETA</v>
      </c>
      <c r="J342" s="264">
        <v>0</v>
      </c>
    </row>
    <row r="343" spans="6:10">
      <c r="F343" s="269" t="s">
        <v>131</v>
      </c>
      <c r="G343" s="262" t="s">
        <v>60</v>
      </c>
      <c r="H343" s="263" t="s">
        <v>10</v>
      </c>
      <c r="I343" s="262" t="str">
        <f t="shared" si="13"/>
        <v>Whisky, Tequila, BrandyNCPTPP</v>
      </c>
      <c r="J343" s="264">
        <v>0</v>
      </c>
    </row>
    <row r="344" spans="6:10">
      <c r="F344" s="269" t="s">
        <v>131</v>
      </c>
      <c r="G344" s="262" t="s">
        <v>6</v>
      </c>
      <c r="H344" s="107" t="s">
        <v>307</v>
      </c>
      <c r="I344" s="262" t="str">
        <f t="shared" si="13"/>
        <v>Whisky, Tequila, BrandyYCUFTA</v>
      </c>
      <c r="J344" s="264">
        <v>0</v>
      </c>
    </row>
    <row r="345" spans="6:10">
      <c r="F345" s="269" t="s">
        <v>131</v>
      </c>
      <c r="G345" s="262" t="s">
        <v>60</v>
      </c>
      <c r="H345" s="107" t="s">
        <v>307</v>
      </c>
      <c r="I345" s="262" t="str">
        <f>F345&amp;G345&amp;H345</f>
        <v>Whisky, Tequila, BrandyNCUFTA</v>
      </c>
      <c r="J345" s="264">
        <v>0</v>
      </c>
    </row>
    <row r="346" spans="6:10">
      <c r="F346" s="269" t="s">
        <v>98</v>
      </c>
      <c r="G346" s="262" t="s">
        <v>6</v>
      </c>
      <c r="H346" s="263" t="s">
        <v>53</v>
      </c>
      <c r="I346" s="262" t="str">
        <f>F346&amp;G346&amp;H346</f>
        <v>DomesticYOther</v>
      </c>
      <c r="J346" s="264">
        <v>0</v>
      </c>
    </row>
    <row r="347" spans="6:10">
      <c r="F347" s="269" t="s">
        <v>98</v>
      </c>
      <c r="G347" s="262" t="s">
        <v>6</v>
      </c>
      <c r="H347" s="263" t="s">
        <v>98</v>
      </c>
      <c r="I347" s="262" t="str">
        <f t="shared" ref="I347:I350" si="14">F347&amp;G347&amp;H347</f>
        <v>DomesticYDomestic</v>
      </c>
      <c r="J347" s="264">
        <v>0</v>
      </c>
    </row>
    <row r="348" spans="6:10">
      <c r="F348" s="269" t="s">
        <v>98</v>
      </c>
      <c r="G348" s="262" t="s">
        <v>6</v>
      </c>
      <c r="H348" s="263" t="s">
        <v>186</v>
      </c>
      <c r="I348" s="262" t="str">
        <f t="shared" si="14"/>
        <v>DomesticYCUSMA</v>
      </c>
      <c r="J348" s="264">
        <v>0</v>
      </c>
    </row>
    <row r="349" spans="6:10">
      <c r="F349" s="269" t="s">
        <v>98</v>
      </c>
      <c r="G349" s="262" t="s">
        <v>6</v>
      </c>
      <c r="H349" s="263" t="s">
        <v>88</v>
      </c>
      <c r="I349" s="262" t="str">
        <f t="shared" si="14"/>
        <v>DomesticYEU/CETA</v>
      </c>
      <c r="J349" s="264">
        <v>0</v>
      </c>
    </row>
    <row r="350" spans="6:10">
      <c r="F350" s="269" t="s">
        <v>98</v>
      </c>
      <c r="G350" s="262" t="s">
        <v>6</v>
      </c>
      <c r="H350" s="263" t="s">
        <v>10</v>
      </c>
      <c r="I350" s="262" t="str">
        <f t="shared" si="14"/>
        <v>DomesticYCPTPP</v>
      </c>
      <c r="J350" s="264">
        <v>0</v>
      </c>
    </row>
    <row r="351" spans="6:10">
      <c r="F351" s="269" t="s">
        <v>98</v>
      </c>
      <c r="G351" s="262" t="s">
        <v>60</v>
      </c>
      <c r="H351" s="263" t="s">
        <v>53</v>
      </c>
      <c r="I351" s="262" t="str">
        <f>F351&amp;G351&amp;H351</f>
        <v>DomesticNOther</v>
      </c>
      <c r="J351" s="264">
        <v>0</v>
      </c>
    </row>
    <row r="352" spans="6:10">
      <c r="F352" s="269" t="s">
        <v>98</v>
      </c>
      <c r="G352" s="262" t="s">
        <v>60</v>
      </c>
      <c r="H352" s="263" t="s">
        <v>98</v>
      </c>
      <c r="I352" s="262" t="str">
        <f t="shared" ref="I352:I355" si="15">F352&amp;G352&amp;H352</f>
        <v>DomesticNDomestic</v>
      </c>
      <c r="J352" s="264">
        <v>0</v>
      </c>
    </row>
    <row r="353" spans="6:10">
      <c r="F353" s="269" t="s">
        <v>98</v>
      </c>
      <c r="G353" s="262" t="s">
        <v>60</v>
      </c>
      <c r="H353" s="263" t="s">
        <v>186</v>
      </c>
      <c r="I353" s="262" t="str">
        <f t="shared" si="15"/>
        <v>DomesticNCUSMA</v>
      </c>
      <c r="J353" s="264">
        <v>0</v>
      </c>
    </row>
    <row r="354" spans="6:10">
      <c r="F354" s="269" t="s">
        <v>98</v>
      </c>
      <c r="G354" s="262" t="s">
        <v>60</v>
      </c>
      <c r="H354" s="263" t="s">
        <v>88</v>
      </c>
      <c r="I354" s="262" t="str">
        <f t="shared" si="15"/>
        <v>DomesticNEU/CETA</v>
      </c>
      <c r="J354" s="264">
        <v>0</v>
      </c>
    </row>
    <row r="355" spans="6:10">
      <c r="F355" s="269" t="s">
        <v>98</v>
      </c>
      <c r="G355" s="262" t="s">
        <v>60</v>
      </c>
      <c r="H355" s="263" t="s">
        <v>10</v>
      </c>
      <c r="I355" s="262" t="str">
        <f t="shared" si="15"/>
        <v>DomesticNCPTPP</v>
      </c>
      <c r="J355" s="264">
        <v>0</v>
      </c>
    </row>
    <row r="356" spans="6:10">
      <c r="F356" s="269" t="s">
        <v>177</v>
      </c>
      <c r="G356" s="262" t="s">
        <v>6</v>
      </c>
      <c r="H356" s="263" t="s">
        <v>53</v>
      </c>
      <c r="I356" s="262" t="str">
        <f>F356&amp;G356&amp;H356</f>
        <v>USYOther</v>
      </c>
      <c r="J356" s="264">
        <v>0</v>
      </c>
    </row>
    <row r="357" spans="6:10">
      <c r="F357" s="269" t="s">
        <v>177</v>
      </c>
      <c r="G357" s="262" t="s">
        <v>6</v>
      </c>
      <c r="H357" s="263" t="s">
        <v>98</v>
      </c>
      <c r="I357" s="262" t="str">
        <f t="shared" ref="I357:I360" si="16">F357&amp;G357&amp;H357</f>
        <v>USYDomestic</v>
      </c>
      <c r="J357" s="264">
        <v>0</v>
      </c>
    </row>
    <row r="358" spans="6:10">
      <c r="F358" s="269" t="s">
        <v>177</v>
      </c>
      <c r="G358" s="262" t="s">
        <v>6</v>
      </c>
      <c r="H358" s="263" t="s">
        <v>186</v>
      </c>
      <c r="I358" s="262" t="str">
        <f t="shared" si="16"/>
        <v>USYCUSMA</v>
      </c>
      <c r="J358" s="264">
        <v>0</v>
      </c>
    </row>
    <row r="359" spans="6:10">
      <c r="F359" s="269" t="s">
        <v>177</v>
      </c>
      <c r="G359" s="262" t="s">
        <v>6</v>
      </c>
      <c r="H359" s="263" t="s">
        <v>88</v>
      </c>
      <c r="I359" s="262" t="str">
        <f t="shared" si="16"/>
        <v>USYEU/CETA</v>
      </c>
      <c r="J359" s="264">
        <v>0</v>
      </c>
    </row>
    <row r="360" spans="6:10">
      <c r="F360" s="269" t="s">
        <v>177</v>
      </c>
      <c r="G360" s="262" t="s">
        <v>6</v>
      </c>
      <c r="H360" s="263" t="s">
        <v>10</v>
      </c>
      <c r="I360" s="262" t="str">
        <f t="shared" si="16"/>
        <v>USYCPTPP</v>
      </c>
      <c r="J360" s="264">
        <v>0</v>
      </c>
    </row>
    <row r="361" spans="6:10">
      <c r="F361" s="269" t="s">
        <v>177</v>
      </c>
      <c r="G361" s="262" t="s">
        <v>60</v>
      </c>
      <c r="H361" s="263" t="s">
        <v>53</v>
      </c>
      <c r="I361" s="262" t="str">
        <f>F361&amp;G361&amp;H361</f>
        <v>USNOther</v>
      </c>
      <c r="J361" s="264">
        <v>0</v>
      </c>
    </row>
    <row r="362" spans="6:10">
      <c r="F362" s="269" t="s">
        <v>177</v>
      </c>
      <c r="G362" s="262" t="s">
        <v>60</v>
      </c>
      <c r="H362" s="263" t="s">
        <v>98</v>
      </c>
      <c r="I362" s="262" t="str">
        <f t="shared" ref="I362:I365" si="17">F362&amp;G362&amp;H362</f>
        <v>USNDomestic</v>
      </c>
      <c r="J362" s="264">
        <v>0</v>
      </c>
    </row>
    <row r="363" spans="6:10">
      <c r="F363" s="269" t="s">
        <v>177</v>
      </c>
      <c r="G363" s="262" t="s">
        <v>60</v>
      </c>
      <c r="H363" s="263" t="s">
        <v>186</v>
      </c>
      <c r="I363" s="262" t="str">
        <f t="shared" si="17"/>
        <v>USNCUSMA</v>
      </c>
      <c r="J363" s="264">
        <v>0</v>
      </c>
    </row>
    <row r="364" spans="6:10">
      <c r="F364" s="269" t="s">
        <v>177</v>
      </c>
      <c r="G364" s="262" t="s">
        <v>60</v>
      </c>
      <c r="H364" s="263" t="s">
        <v>88</v>
      </c>
      <c r="I364" s="262" t="str">
        <f t="shared" si="17"/>
        <v>USNEU/CETA</v>
      </c>
      <c r="J364" s="264">
        <v>0</v>
      </c>
    </row>
    <row r="365" spans="6:10">
      <c r="F365" s="269" t="s">
        <v>177</v>
      </c>
      <c r="G365" s="262" t="s">
        <v>60</v>
      </c>
      <c r="H365" s="263" t="s">
        <v>10</v>
      </c>
      <c r="I365" s="262" t="str">
        <f t="shared" si="17"/>
        <v>USNCPTPP</v>
      </c>
      <c r="J365" s="264">
        <v>0</v>
      </c>
    </row>
    <row r="366" spans="6:10" ht="16" thickBot="1"/>
    <row r="367" spans="6:10" ht="16" thickBot="1">
      <c r="F367" s="239" t="s">
        <v>283</v>
      </c>
      <c r="G367" s="240" t="s">
        <v>60</v>
      </c>
      <c r="H367" s="240" t="s">
        <v>186</v>
      </c>
      <c r="I367" s="240" t="s">
        <v>284</v>
      </c>
      <c r="J367" s="241">
        <v>4.6800000000000001E-2</v>
      </c>
    </row>
    <row r="368" spans="6:10" ht="16" thickBot="1">
      <c r="F368" s="239" t="s">
        <v>283</v>
      </c>
      <c r="G368" s="246" t="s">
        <v>60</v>
      </c>
      <c r="H368" s="246" t="s">
        <v>88</v>
      </c>
      <c r="I368" s="246" t="s">
        <v>285</v>
      </c>
      <c r="J368" s="247">
        <v>4.6800000000000001E-2</v>
      </c>
    </row>
    <row r="369" spans="6:10" ht="16" thickBot="1">
      <c r="F369" s="239" t="s">
        <v>283</v>
      </c>
      <c r="G369" s="240" t="s">
        <v>60</v>
      </c>
      <c r="H369" s="240" t="s">
        <v>10</v>
      </c>
      <c r="I369" s="240" t="s">
        <v>286</v>
      </c>
      <c r="J369" s="241">
        <v>4.6800000000000001E-2</v>
      </c>
    </row>
    <row r="370" spans="6:10" ht="16" thickBot="1">
      <c r="F370" s="239" t="s">
        <v>283</v>
      </c>
      <c r="G370" s="246" t="s">
        <v>60</v>
      </c>
      <c r="H370" s="246" t="s">
        <v>53</v>
      </c>
      <c r="I370" s="246" t="s">
        <v>287</v>
      </c>
      <c r="J370" s="247">
        <v>4.6800000000000001E-2</v>
      </c>
    </row>
    <row r="371" spans="6:10" ht="16" thickBot="1">
      <c r="F371" s="239" t="s">
        <v>283</v>
      </c>
      <c r="G371" s="240" t="s">
        <v>60</v>
      </c>
      <c r="H371" s="240" t="s">
        <v>98</v>
      </c>
      <c r="I371" s="240" t="s">
        <v>288</v>
      </c>
      <c r="J371" s="241">
        <v>0</v>
      </c>
    </row>
    <row r="372" spans="6:10" ht="16" thickBot="1">
      <c r="F372" s="239" t="s">
        <v>283</v>
      </c>
      <c r="G372" s="246" t="s">
        <v>6</v>
      </c>
      <c r="H372" s="246" t="s">
        <v>186</v>
      </c>
      <c r="I372" s="246" t="s">
        <v>289</v>
      </c>
      <c r="J372" s="247">
        <v>0</v>
      </c>
    </row>
    <row r="373" spans="6:10" ht="16" thickBot="1">
      <c r="F373" s="239" t="s">
        <v>283</v>
      </c>
      <c r="G373" s="240" t="s">
        <v>6</v>
      </c>
      <c r="H373" s="240" t="s">
        <v>88</v>
      </c>
      <c r="I373" s="240" t="s">
        <v>290</v>
      </c>
      <c r="J373" s="241">
        <v>0</v>
      </c>
    </row>
    <row r="374" spans="6:10" ht="16" thickBot="1">
      <c r="F374" s="239" t="s">
        <v>283</v>
      </c>
      <c r="G374" s="246" t="s">
        <v>6</v>
      </c>
      <c r="H374" s="246" t="s">
        <v>10</v>
      </c>
      <c r="I374" s="246" t="s">
        <v>291</v>
      </c>
      <c r="J374" s="247">
        <v>0</v>
      </c>
    </row>
    <row r="375" spans="6:10" ht="16" thickBot="1">
      <c r="F375" s="239" t="s">
        <v>283</v>
      </c>
      <c r="G375" s="240" t="s">
        <v>6</v>
      </c>
      <c r="H375" s="240" t="s">
        <v>53</v>
      </c>
      <c r="I375" s="240" t="s">
        <v>292</v>
      </c>
      <c r="J375" s="241">
        <v>4.6800000000000001E-2</v>
      </c>
    </row>
    <row r="376" spans="6:10" ht="16" thickBot="1">
      <c r="F376" s="239" t="s">
        <v>283</v>
      </c>
      <c r="G376" s="246" t="s">
        <v>6</v>
      </c>
      <c r="H376" s="246" t="s">
        <v>98</v>
      </c>
      <c r="I376" s="246" t="s">
        <v>293</v>
      </c>
      <c r="J376" s="247">
        <v>0</v>
      </c>
    </row>
    <row r="377" spans="6:10" ht="16" thickBot="1">
      <c r="F377" s="239" t="s">
        <v>283</v>
      </c>
      <c r="G377" s="240" t="s">
        <v>60</v>
      </c>
      <c r="H377" s="107" t="s">
        <v>307</v>
      </c>
      <c r="I377" s="240" t="s">
        <v>320</v>
      </c>
      <c r="J377" s="241">
        <v>0</v>
      </c>
    </row>
    <row r="378" spans="6:10">
      <c r="F378" s="239" t="s">
        <v>283</v>
      </c>
      <c r="G378" s="246" t="s">
        <v>6</v>
      </c>
      <c r="H378" s="107" t="s">
        <v>307</v>
      </c>
      <c r="I378" s="246" t="s">
        <v>319</v>
      </c>
      <c r="J378" s="247">
        <v>0</v>
      </c>
    </row>
    <row r="379" spans="6:10">
      <c r="F379" s="242" t="s">
        <v>294</v>
      </c>
      <c r="G379" s="243" t="s">
        <v>60</v>
      </c>
      <c r="H379" s="243" t="s">
        <v>186</v>
      </c>
      <c r="I379" s="243" t="str">
        <f>F379&amp;G379&amp;H379</f>
        <v>GiftSakeNCUSMA</v>
      </c>
      <c r="J379" s="244">
        <v>7.0400000000000004E-2</v>
      </c>
    </row>
    <row r="380" spans="6:10">
      <c r="F380" s="242" t="s">
        <v>294</v>
      </c>
      <c r="G380" s="246" t="s">
        <v>60</v>
      </c>
      <c r="H380" s="246" t="s">
        <v>88</v>
      </c>
      <c r="I380" s="243" t="str">
        <f t="shared" ref="I380:I448" si="18">F380&amp;G380&amp;H380</f>
        <v>GiftSakeNEU/CETA</v>
      </c>
      <c r="J380" s="248">
        <v>7.0400000000000004E-2</v>
      </c>
    </row>
    <row r="381" spans="6:10">
      <c r="F381" s="242" t="s">
        <v>294</v>
      </c>
      <c r="G381" s="243" t="s">
        <v>60</v>
      </c>
      <c r="H381" s="243" t="s">
        <v>10</v>
      </c>
      <c r="I381" s="243" t="str">
        <f t="shared" si="18"/>
        <v>GiftSakeNCPTPP</v>
      </c>
      <c r="J381" s="244">
        <v>7.0400000000000004E-2</v>
      </c>
    </row>
    <row r="382" spans="6:10">
      <c r="F382" s="242" t="s">
        <v>294</v>
      </c>
      <c r="G382" s="246" t="s">
        <v>60</v>
      </c>
      <c r="H382" s="246" t="s">
        <v>53</v>
      </c>
      <c r="I382" s="243" t="str">
        <f t="shared" si="18"/>
        <v>GiftSakeNOther</v>
      </c>
      <c r="J382" s="248">
        <v>7.0400000000000004E-2</v>
      </c>
    </row>
    <row r="383" spans="6:10">
      <c r="F383" s="242" t="s">
        <v>294</v>
      </c>
      <c r="G383" s="243" t="s">
        <v>60</v>
      </c>
      <c r="H383" s="243" t="s">
        <v>98</v>
      </c>
      <c r="I383" s="243" t="str">
        <f t="shared" si="18"/>
        <v>GiftSakeNDomestic</v>
      </c>
      <c r="J383" s="244">
        <v>0</v>
      </c>
    </row>
    <row r="384" spans="6:10">
      <c r="F384" s="242" t="s">
        <v>294</v>
      </c>
      <c r="G384" s="246" t="s">
        <v>6</v>
      </c>
      <c r="H384" s="246" t="s">
        <v>186</v>
      </c>
      <c r="I384" s="243" t="str">
        <f t="shared" si="18"/>
        <v>GiftSakeYCUSMA</v>
      </c>
      <c r="J384" s="248">
        <v>0</v>
      </c>
    </row>
    <row r="385" spans="6:10">
      <c r="F385" s="242" t="s">
        <v>294</v>
      </c>
      <c r="G385" s="243" t="s">
        <v>6</v>
      </c>
      <c r="H385" s="243" t="s">
        <v>88</v>
      </c>
      <c r="I385" s="243" t="str">
        <f t="shared" si="18"/>
        <v>GiftSakeYEU/CETA</v>
      </c>
      <c r="J385" s="244">
        <v>0</v>
      </c>
    </row>
    <row r="386" spans="6:10">
      <c r="F386" s="242" t="s">
        <v>294</v>
      </c>
      <c r="G386" s="246" t="s">
        <v>6</v>
      </c>
      <c r="H386" s="246" t="s">
        <v>10</v>
      </c>
      <c r="I386" s="243" t="str">
        <f t="shared" si="18"/>
        <v>GiftSakeYCPTPP</v>
      </c>
      <c r="J386" s="248">
        <v>0</v>
      </c>
    </row>
    <row r="387" spans="6:10">
      <c r="F387" s="242" t="s">
        <v>294</v>
      </c>
      <c r="G387" s="243" t="s">
        <v>6</v>
      </c>
      <c r="H387" s="243" t="s">
        <v>53</v>
      </c>
      <c r="I387" s="243" t="str">
        <f t="shared" si="18"/>
        <v>GiftSakeYOther</v>
      </c>
      <c r="J387" s="244">
        <v>7.0400000000000004E-2</v>
      </c>
    </row>
    <row r="388" spans="6:10">
      <c r="F388" s="242" t="s">
        <v>294</v>
      </c>
      <c r="G388" s="246" t="s">
        <v>6</v>
      </c>
      <c r="H388" s="246" t="s">
        <v>98</v>
      </c>
      <c r="I388" s="243" t="str">
        <f t="shared" si="18"/>
        <v>GiftSakeYDomestic</v>
      </c>
      <c r="J388" s="248">
        <v>0</v>
      </c>
    </row>
    <row r="389" spans="6:10">
      <c r="F389" s="242" t="s">
        <v>294</v>
      </c>
      <c r="G389" s="243" t="s">
        <v>60</v>
      </c>
      <c r="H389" s="107" t="s">
        <v>307</v>
      </c>
      <c r="I389" s="243" t="str">
        <f t="shared" ref="I389:I390" si="19">F389&amp;G389&amp;H389</f>
        <v>GiftSakeNCUFTA</v>
      </c>
      <c r="J389" s="244">
        <v>0</v>
      </c>
    </row>
    <row r="390" spans="6:10">
      <c r="F390" s="242" t="s">
        <v>294</v>
      </c>
      <c r="G390" s="246" t="s">
        <v>6</v>
      </c>
      <c r="H390" s="107" t="s">
        <v>307</v>
      </c>
      <c r="I390" s="243" t="str">
        <f t="shared" si="19"/>
        <v>GiftSakeYCUFTA</v>
      </c>
      <c r="J390" s="248">
        <v>0</v>
      </c>
    </row>
    <row r="391" spans="6:10">
      <c r="F391" s="242" t="s">
        <v>295</v>
      </c>
      <c r="G391" s="243" t="s">
        <v>60</v>
      </c>
      <c r="H391" s="243" t="s">
        <v>186</v>
      </c>
      <c r="I391" s="243" t="str">
        <f t="shared" si="18"/>
        <v>GiftLight WineNCUSMA</v>
      </c>
      <c r="J391" s="244">
        <v>0</v>
      </c>
    </row>
    <row r="392" spans="6:10">
      <c r="F392" s="242" t="s">
        <v>295</v>
      </c>
      <c r="G392" s="246" t="s">
        <v>60</v>
      </c>
      <c r="H392" s="246" t="s">
        <v>88</v>
      </c>
      <c r="I392" s="243" t="str">
        <f t="shared" si="18"/>
        <v>GiftLight WineNEU/CETA</v>
      </c>
      <c r="J392" s="248">
        <v>0</v>
      </c>
    </row>
    <row r="393" spans="6:10">
      <c r="F393" s="242" t="s">
        <v>295</v>
      </c>
      <c r="G393" s="243" t="s">
        <v>60</v>
      </c>
      <c r="H393" s="243" t="s">
        <v>10</v>
      </c>
      <c r="I393" s="243" t="str">
        <f t="shared" si="18"/>
        <v>GiftLight WineNCPTPP</v>
      </c>
      <c r="J393" s="244">
        <v>0</v>
      </c>
    </row>
    <row r="394" spans="6:10">
      <c r="F394" s="242" t="s">
        <v>295</v>
      </c>
      <c r="G394" s="246" t="s">
        <v>60</v>
      </c>
      <c r="H394" s="246" t="s">
        <v>53</v>
      </c>
      <c r="I394" s="243" t="str">
        <f t="shared" si="18"/>
        <v>GiftLight WineNOther</v>
      </c>
      <c r="J394" s="248">
        <v>0</v>
      </c>
    </row>
    <row r="395" spans="6:10">
      <c r="F395" s="242" t="s">
        <v>295</v>
      </c>
      <c r="G395" s="243" t="s">
        <v>60</v>
      </c>
      <c r="H395" s="243" t="s">
        <v>98</v>
      </c>
      <c r="I395" s="243" t="str">
        <f t="shared" si="18"/>
        <v>GiftLight WineNDomestic</v>
      </c>
      <c r="J395" s="244">
        <v>0</v>
      </c>
    </row>
    <row r="396" spans="6:10">
      <c r="F396" s="242" t="s">
        <v>295</v>
      </c>
      <c r="G396" s="246" t="s">
        <v>6</v>
      </c>
      <c r="H396" s="246" t="s">
        <v>186</v>
      </c>
      <c r="I396" s="243" t="str">
        <f t="shared" si="18"/>
        <v>GiftLight WineYCUSMA</v>
      </c>
      <c r="J396" s="248">
        <v>0</v>
      </c>
    </row>
    <row r="397" spans="6:10">
      <c r="F397" s="242" t="s">
        <v>295</v>
      </c>
      <c r="G397" s="243" t="s">
        <v>6</v>
      </c>
      <c r="H397" s="243" t="s">
        <v>88</v>
      </c>
      <c r="I397" s="243" t="str">
        <f t="shared" si="18"/>
        <v>GiftLight WineYEU/CETA</v>
      </c>
      <c r="J397" s="244">
        <v>0</v>
      </c>
    </row>
    <row r="398" spans="6:10">
      <c r="F398" s="242" t="s">
        <v>295</v>
      </c>
      <c r="G398" s="246" t="s">
        <v>6</v>
      </c>
      <c r="H398" s="246" t="s">
        <v>10</v>
      </c>
      <c r="I398" s="243" t="str">
        <f t="shared" si="18"/>
        <v>GiftLight WineYCPTPP</v>
      </c>
      <c r="J398" s="248">
        <v>0</v>
      </c>
    </row>
    <row r="399" spans="6:10">
      <c r="F399" s="242" t="s">
        <v>295</v>
      </c>
      <c r="G399" s="243" t="s">
        <v>6</v>
      </c>
      <c r="H399" s="243" t="s">
        <v>53</v>
      </c>
      <c r="I399" s="243" t="str">
        <f t="shared" si="18"/>
        <v>GiftLight WineYOther</v>
      </c>
      <c r="J399" s="244">
        <v>0</v>
      </c>
    </row>
    <row r="400" spans="6:10">
      <c r="F400" s="242" t="s">
        <v>295</v>
      </c>
      <c r="G400" s="246" t="s">
        <v>6</v>
      </c>
      <c r="H400" s="246" t="s">
        <v>98</v>
      </c>
      <c r="I400" s="243" t="str">
        <f t="shared" si="18"/>
        <v>GiftLight WineYDomestic</v>
      </c>
      <c r="J400" s="248">
        <v>0</v>
      </c>
    </row>
    <row r="401" spans="6:10">
      <c r="F401" s="242" t="s">
        <v>295</v>
      </c>
      <c r="G401" s="243" t="s">
        <v>60</v>
      </c>
      <c r="H401" s="107" t="s">
        <v>307</v>
      </c>
      <c r="I401" s="243" t="str">
        <f t="shared" ref="I401:I402" si="20">F401&amp;G401&amp;H401</f>
        <v>GiftLight WineNCUFTA</v>
      </c>
      <c r="J401" s="244">
        <v>0</v>
      </c>
    </row>
    <row r="402" spans="6:10">
      <c r="F402" s="242" t="s">
        <v>295</v>
      </c>
      <c r="G402" s="246" t="s">
        <v>6</v>
      </c>
      <c r="H402" s="107" t="s">
        <v>307</v>
      </c>
      <c r="I402" s="243" t="str">
        <f t="shared" si="20"/>
        <v>GiftLight WineYCUFTA</v>
      </c>
      <c r="J402" s="248">
        <v>0</v>
      </c>
    </row>
    <row r="403" spans="6:10">
      <c r="F403" s="242" t="s">
        <v>296</v>
      </c>
      <c r="G403" s="243" t="s">
        <v>60</v>
      </c>
      <c r="H403" s="243" t="s">
        <v>186</v>
      </c>
      <c r="I403" s="243" t="str">
        <f t="shared" si="18"/>
        <v>GiftFortifiedNCUSMA</v>
      </c>
      <c r="J403" s="244">
        <v>0</v>
      </c>
    </row>
    <row r="404" spans="6:10">
      <c r="F404" s="242" t="s">
        <v>296</v>
      </c>
      <c r="G404" s="246" t="s">
        <v>60</v>
      </c>
      <c r="H404" s="246" t="s">
        <v>88</v>
      </c>
      <c r="I404" s="243" t="str">
        <f t="shared" si="18"/>
        <v>GiftFortifiedNEU/CETA</v>
      </c>
      <c r="J404" s="248">
        <v>0</v>
      </c>
    </row>
    <row r="405" spans="6:10">
      <c r="F405" s="242" t="s">
        <v>296</v>
      </c>
      <c r="G405" s="243" t="s">
        <v>60</v>
      </c>
      <c r="H405" s="243" t="s">
        <v>10</v>
      </c>
      <c r="I405" s="243" t="str">
        <f t="shared" si="18"/>
        <v>GiftFortifiedNCPTPP</v>
      </c>
      <c r="J405" s="244">
        <v>0</v>
      </c>
    </row>
    <row r="406" spans="6:10">
      <c r="F406" s="242" t="s">
        <v>296</v>
      </c>
      <c r="G406" s="246" t="s">
        <v>60</v>
      </c>
      <c r="H406" s="246" t="s">
        <v>53</v>
      </c>
      <c r="I406" s="243" t="str">
        <f t="shared" si="18"/>
        <v>GiftFortifiedNOther</v>
      </c>
      <c r="J406" s="248">
        <v>0</v>
      </c>
    </row>
    <row r="407" spans="6:10">
      <c r="F407" s="242" t="s">
        <v>296</v>
      </c>
      <c r="G407" s="243" t="s">
        <v>60</v>
      </c>
      <c r="H407" s="243" t="s">
        <v>98</v>
      </c>
      <c r="I407" s="243" t="str">
        <f t="shared" si="18"/>
        <v>GiftFortifiedNDomestic</v>
      </c>
      <c r="J407" s="244">
        <v>0</v>
      </c>
    </row>
    <row r="408" spans="6:10">
      <c r="F408" s="242" t="s">
        <v>296</v>
      </c>
      <c r="G408" s="246" t="s">
        <v>6</v>
      </c>
      <c r="H408" s="246" t="s">
        <v>186</v>
      </c>
      <c r="I408" s="243" t="str">
        <f t="shared" si="18"/>
        <v>GiftFortifiedYCUSMA</v>
      </c>
      <c r="J408" s="248">
        <v>0</v>
      </c>
    </row>
    <row r="409" spans="6:10">
      <c r="F409" s="242" t="s">
        <v>296</v>
      </c>
      <c r="G409" s="243" t="s">
        <v>6</v>
      </c>
      <c r="H409" s="243" t="s">
        <v>88</v>
      </c>
      <c r="I409" s="243" t="str">
        <f t="shared" si="18"/>
        <v>GiftFortifiedYEU/CETA</v>
      </c>
      <c r="J409" s="244">
        <v>0</v>
      </c>
    </row>
    <row r="410" spans="6:10">
      <c r="F410" s="242" t="s">
        <v>296</v>
      </c>
      <c r="G410" s="246" t="s">
        <v>6</v>
      </c>
      <c r="H410" s="246" t="s">
        <v>10</v>
      </c>
      <c r="I410" s="243" t="str">
        <f t="shared" si="18"/>
        <v>GiftFortifiedYCPTPP</v>
      </c>
      <c r="J410" s="248">
        <v>0</v>
      </c>
    </row>
    <row r="411" spans="6:10">
      <c r="F411" s="242" t="s">
        <v>296</v>
      </c>
      <c r="G411" s="243" t="s">
        <v>6</v>
      </c>
      <c r="H411" s="243" t="s">
        <v>53</v>
      </c>
      <c r="I411" s="243" t="str">
        <f t="shared" si="18"/>
        <v>GiftFortifiedYOther</v>
      </c>
      <c r="J411" s="244">
        <v>0</v>
      </c>
    </row>
    <row r="412" spans="6:10">
      <c r="F412" s="242" t="s">
        <v>296</v>
      </c>
      <c r="G412" s="246" t="s">
        <v>6</v>
      </c>
      <c r="H412" s="246" t="s">
        <v>98</v>
      </c>
      <c r="I412" s="243" t="str">
        <f t="shared" si="18"/>
        <v>GiftFortifiedYDomestic</v>
      </c>
      <c r="J412" s="248">
        <v>0</v>
      </c>
    </row>
    <row r="413" spans="6:10">
      <c r="F413" s="242" t="s">
        <v>296</v>
      </c>
      <c r="G413" s="243" t="s">
        <v>60</v>
      </c>
      <c r="H413" s="107" t="s">
        <v>307</v>
      </c>
      <c r="I413" s="243" t="str">
        <f t="shared" ref="I413:I414" si="21">F413&amp;G413&amp;H413</f>
        <v>GiftFortifiedNCUFTA</v>
      </c>
      <c r="J413" s="244">
        <v>0</v>
      </c>
    </row>
    <row r="414" spans="6:10">
      <c r="F414" s="242" t="s">
        <v>296</v>
      </c>
      <c r="G414" s="246" t="s">
        <v>6</v>
      </c>
      <c r="H414" s="107" t="s">
        <v>307</v>
      </c>
      <c r="I414" s="243" t="str">
        <f t="shared" si="21"/>
        <v>GiftFortifiedYCUFTA</v>
      </c>
      <c r="J414" s="248">
        <v>0</v>
      </c>
    </row>
    <row r="415" spans="6:10">
      <c r="F415" s="245" t="s">
        <v>297</v>
      </c>
      <c r="G415" s="243" t="s">
        <v>60</v>
      </c>
      <c r="H415" s="243" t="s">
        <v>186</v>
      </c>
      <c r="I415" s="243" t="str">
        <f t="shared" si="18"/>
        <v>GiftFortified &gt;= 20.1%NCUSMA</v>
      </c>
      <c r="J415" s="244">
        <v>0</v>
      </c>
    </row>
    <row r="416" spans="6:10">
      <c r="F416" s="245" t="s">
        <v>297</v>
      </c>
      <c r="G416" s="246" t="s">
        <v>60</v>
      </c>
      <c r="H416" s="246" t="s">
        <v>88</v>
      </c>
      <c r="I416" s="243" t="str">
        <f t="shared" si="18"/>
        <v>GiftFortified &gt;= 20.1%NEU/CETA</v>
      </c>
      <c r="J416" s="248">
        <v>0</v>
      </c>
    </row>
    <row r="417" spans="6:10">
      <c r="F417" s="245" t="s">
        <v>297</v>
      </c>
      <c r="G417" s="243" t="s">
        <v>60</v>
      </c>
      <c r="H417" s="243" t="s">
        <v>10</v>
      </c>
      <c r="I417" s="243" t="str">
        <f t="shared" si="18"/>
        <v>GiftFortified &gt;= 20.1%NCPTPP</v>
      </c>
      <c r="J417" s="244">
        <v>0</v>
      </c>
    </row>
    <row r="418" spans="6:10">
      <c r="F418" s="245" t="s">
        <v>297</v>
      </c>
      <c r="G418" s="246" t="s">
        <v>60</v>
      </c>
      <c r="H418" s="246" t="s">
        <v>53</v>
      </c>
      <c r="I418" s="243" t="str">
        <f t="shared" si="18"/>
        <v>GiftFortified &gt;= 20.1%NOther</v>
      </c>
      <c r="J418" s="248">
        <v>0</v>
      </c>
    </row>
    <row r="419" spans="6:10">
      <c r="F419" s="245" t="s">
        <v>297</v>
      </c>
      <c r="G419" s="243" t="s">
        <v>60</v>
      </c>
      <c r="H419" s="243" t="s">
        <v>98</v>
      </c>
      <c r="I419" s="243" t="str">
        <f t="shared" si="18"/>
        <v>GiftFortified &gt;= 20.1%NDomestic</v>
      </c>
      <c r="J419" s="244">
        <v>0</v>
      </c>
    </row>
    <row r="420" spans="6:10">
      <c r="F420" s="245" t="s">
        <v>297</v>
      </c>
      <c r="G420" s="246" t="s">
        <v>6</v>
      </c>
      <c r="H420" s="246" t="s">
        <v>186</v>
      </c>
      <c r="I420" s="243" t="str">
        <f t="shared" si="18"/>
        <v>GiftFortified &gt;= 20.1%YCUSMA</v>
      </c>
      <c r="J420" s="248">
        <v>0</v>
      </c>
    </row>
    <row r="421" spans="6:10">
      <c r="F421" s="245" t="s">
        <v>297</v>
      </c>
      <c r="G421" s="243" t="s">
        <v>6</v>
      </c>
      <c r="H421" s="243" t="s">
        <v>88</v>
      </c>
      <c r="I421" s="243" t="str">
        <f t="shared" si="18"/>
        <v>GiftFortified &gt;= 20.1%YEU/CETA</v>
      </c>
      <c r="J421" s="244">
        <v>0</v>
      </c>
    </row>
    <row r="422" spans="6:10">
      <c r="F422" s="245" t="s">
        <v>297</v>
      </c>
      <c r="G422" s="246" t="s">
        <v>6</v>
      </c>
      <c r="H422" s="246" t="s">
        <v>10</v>
      </c>
      <c r="I422" s="243" t="str">
        <f t="shared" si="18"/>
        <v>GiftFortified &gt;= 20.1%YCPTPP</v>
      </c>
      <c r="J422" s="248">
        <v>0</v>
      </c>
    </row>
    <row r="423" spans="6:10">
      <c r="F423" s="245" t="s">
        <v>297</v>
      </c>
      <c r="G423" s="243" t="s">
        <v>6</v>
      </c>
      <c r="H423" s="243" t="s">
        <v>53</v>
      </c>
      <c r="I423" s="243" t="str">
        <f t="shared" si="18"/>
        <v>GiftFortified &gt;= 20.1%YOther</v>
      </c>
      <c r="J423" s="244">
        <v>0</v>
      </c>
    </row>
    <row r="424" spans="6:10">
      <c r="F424" s="245" t="s">
        <v>297</v>
      </c>
      <c r="G424" s="246" t="s">
        <v>6</v>
      </c>
      <c r="H424" s="246" t="s">
        <v>98</v>
      </c>
      <c r="I424" s="243" t="str">
        <f t="shared" si="18"/>
        <v>GiftFortified &gt;= 20.1%YDomestic</v>
      </c>
      <c r="J424" s="248">
        <v>0</v>
      </c>
    </row>
    <row r="425" spans="6:10">
      <c r="F425" s="245" t="s">
        <v>297</v>
      </c>
      <c r="G425" s="243" t="s">
        <v>60</v>
      </c>
      <c r="H425" s="107" t="s">
        <v>307</v>
      </c>
      <c r="I425" s="243" t="str">
        <f t="shared" ref="I425:I426" si="22">F425&amp;G425&amp;H425</f>
        <v>GiftFortified &gt;= 20.1%NCUFTA</v>
      </c>
      <c r="J425" s="244">
        <v>0</v>
      </c>
    </row>
    <row r="426" spans="6:10">
      <c r="F426" s="245" t="s">
        <v>297</v>
      </c>
      <c r="G426" s="246" t="s">
        <v>6</v>
      </c>
      <c r="H426" s="107" t="s">
        <v>307</v>
      </c>
      <c r="I426" s="243" t="str">
        <f t="shared" si="22"/>
        <v>GiftFortified &gt;= 20.1%YCUFTA</v>
      </c>
      <c r="J426" s="248">
        <v>0</v>
      </c>
    </row>
    <row r="427" spans="6:10">
      <c r="F427" s="242" t="s">
        <v>298</v>
      </c>
      <c r="G427" s="243" t="s">
        <v>60</v>
      </c>
      <c r="H427" s="243" t="s">
        <v>186</v>
      </c>
      <c r="I427" s="243" t="str">
        <f t="shared" si="18"/>
        <v>GiftSparklingNCUSMA</v>
      </c>
      <c r="J427" s="244">
        <v>0</v>
      </c>
    </row>
    <row r="428" spans="6:10">
      <c r="F428" s="242" t="s">
        <v>298</v>
      </c>
      <c r="G428" s="246" t="s">
        <v>60</v>
      </c>
      <c r="H428" s="246" t="s">
        <v>88</v>
      </c>
      <c r="I428" s="243" t="str">
        <f t="shared" si="18"/>
        <v>GiftSparklingNEU/CETA</v>
      </c>
      <c r="J428" s="248">
        <v>0</v>
      </c>
    </row>
    <row r="429" spans="6:10">
      <c r="F429" s="242" t="s">
        <v>298</v>
      </c>
      <c r="G429" s="243" t="s">
        <v>60</v>
      </c>
      <c r="H429" s="243" t="s">
        <v>10</v>
      </c>
      <c r="I429" s="243" t="str">
        <f t="shared" si="18"/>
        <v>GiftSparklingNCPTPP</v>
      </c>
      <c r="J429" s="244">
        <v>0</v>
      </c>
    </row>
    <row r="430" spans="6:10">
      <c r="F430" s="242" t="s">
        <v>298</v>
      </c>
      <c r="G430" s="246" t="s">
        <v>60</v>
      </c>
      <c r="H430" s="246" t="s">
        <v>53</v>
      </c>
      <c r="I430" s="243" t="str">
        <f t="shared" si="18"/>
        <v>GiftSparklingNOther</v>
      </c>
      <c r="J430" s="248">
        <v>0</v>
      </c>
    </row>
    <row r="431" spans="6:10">
      <c r="F431" s="242" t="s">
        <v>298</v>
      </c>
      <c r="G431" s="243" t="s">
        <v>60</v>
      </c>
      <c r="H431" s="243" t="s">
        <v>98</v>
      </c>
      <c r="I431" s="243" t="str">
        <f t="shared" si="18"/>
        <v>GiftSparklingNDomestic</v>
      </c>
      <c r="J431" s="244">
        <v>0</v>
      </c>
    </row>
    <row r="432" spans="6:10">
      <c r="F432" s="242" t="s">
        <v>298</v>
      </c>
      <c r="G432" s="246" t="s">
        <v>6</v>
      </c>
      <c r="H432" s="246" t="s">
        <v>186</v>
      </c>
      <c r="I432" s="243" t="str">
        <f t="shared" si="18"/>
        <v>GiftSparklingYCUSMA</v>
      </c>
      <c r="J432" s="248">
        <v>0</v>
      </c>
    </row>
    <row r="433" spans="6:10">
      <c r="F433" s="242" t="s">
        <v>298</v>
      </c>
      <c r="G433" s="243" t="s">
        <v>6</v>
      </c>
      <c r="H433" s="243" t="s">
        <v>88</v>
      </c>
      <c r="I433" s="243" t="str">
        <f t="shared" si="18"/>
        <v>GiftSparklingYEU/CETA</v>
      </c>
      <c r="J433" s="244">
        <v>0</v>
      </c>
    </row>
    <row r="434" spans="6:10">
      <c r="F434" s="242" t="s">
        <v>298</v>
      </c>
      <c r="G434" s="246" t="s">
        <v>6</v>
      </c>
      <c r="H434" s="246" t="s">
        <v>10</v>
      </c>
      <c r="I434" s="243" t="str">
        <f t="shared" si="18"/>
        <v>GiftSparklingYCPTPP</v>
      </c>
      <c r="J434" s="248">
        <v>0</v>
      </c>
    </row>
    <row r="435" spans="6:10">
      <c r="F435" s="242" t="s">
        <v>298</v>
      </c>
      <c r="G435" s="243" t="s">
        <v>6</v>
      </c>
      <c r="H435" s="243" t="s">
        <v>53</v>
      </c>
      <c r="I435" s="243" t="str">
        <f t="shared" si="18"/>
        <v>GiftSparklingYOther</v>
      </c>
      <c r="J435" s="244">
        <v>0</v>
      </c>
    </row>
    <row r="436" spans="6:10">
      <c r="F436" s="242" t="s">
        <v>298</v>
      </c>
      <c r="G436" s="246" t="s">
        <v>6</v>
      </c>
      <c r="H436" s="246" t="s">
        <v>98</v>
      </c>
      <c r="I436" s="243" t="str">
        <f t="shared" si="18"/>
        <v>GiftSparklingYDomestic</v>
      </c>
      <c r="J436" s="248">
        <v>0</v>
      </c>
    </row>
    <row r="437" spans="6:10">
      <c r="F437" s="242" t="s">
        <v>298</v>
      </c>
      <c r="G437" s="243" t="s">
        <v>60</v>
      </c>
      <c r="H437" s="107" t="s">
        <v>307</v>
      </c>
      <c r="I437" s="243" t="str">
        <f t="shared" ref="I437:I438" si="23">F437&amp;G437&amp;H437</f>
        <v>GiftSparklingNCUFTA</v>
      </c>
      <c r="J437" s="244">
        <v>0</v>
      </c>
    </row>
    <row r="438" spans="6:10">
      <c r="F438" s="242" t="s">
        <v>298</v>
      </c>
      <c r="G438" s="246" t="s">
        <v>6</v>
      </c>
      <c r="H438" s="107" t="s">
        <v>307</v>
      </c>
      <c r="I438" s="243" t="str">
        <f t="shared" si="23"/>
        <v>GiftSparklingYCUFTA</v>
      </c>
      <c r="J438" s="248">
        <v>0</v>
      </c>
    </row>
    <row r="439" spans="6:10">
      <c r="F439" s="242" t="s">
        <v>299</v>
      </c>
      <c r="G439" s="243" t="s">
        <v>60</v>
      </c>
      <c r="H439" s="243" t="s">
        <v>186</v>
      </c>
      <c r="I439" s="243" t="str">
        <f t="shared" si="18"/>
        <v>GiftFlavouredNCUSMA</v>
      </c>
      <c r="J439" s="244">
        <v>0</v>
      </c>
    </row>
    <row r="440" spans="6:10">
      <c r="F440" s="242" t="s">
        <v>299</v>
      </c>
      <c r="G440" s="246" t="s">
        <v>60</v>
      </c>
      <c r="H440" s="246" t="s">
        <v>88</v>
      </c>
      <c r="I440" s="243" t="str">
        <f t="shared" si="18"/>
        <v>GiftFlavouredNEU/CETA</v>
      </c>
      <c r="J440" s="248">
        <v>0</v>
      </c>
    </row>
    <row r="441" spans="6:10">
      <c r="F441" s="242" t="s">
        <v>299</v>
      </c>
      <c r="G441" s="243" t="s">
        <v>60</v>
      </c>
      <c r="H441" s="243" t="s">
        <v>10</v>
      </c>
      <c r="I441" s="243" t="str">
        <f t="shared" si="18"/>
        <v>GiftFlavouredNCPTPP</v>
      </c>
      <c r="J441" s="244">
        <v>0</v>
      </c>
    </row>
    <row r="442" spans="6:10">
      <c r="F442" s="242" t="s">
        <v>299</v>
      </c>
      <c r="G442" s="246" t="s">
        <v>60</v>
      </c>
      <c r="H442" s="246" t="s">
        <v>53</v>
      </c>
      <c r="I442" s="243" t="str">
        <f t="shared" si="18"/>
        <v>GiftFlavouredNOther</v>
      </c>
      <c r="J442" s="248">
        <v>0</v>
      </c>
    </row>
    <row r="443" spans="6:10">
      <c r="F443" s="242" t="s">
        <v>299</v>
      </c>
      <c r="G443" s="243" t="s">
        <v>60</v>
      </c>
      <c r="H443" s="243" t="s">
        <v>98</v>
      </c>
      <c r="I443" s="243" t="str">
        <f t="shared" si="18"/>
        <v>GiftFlavouredNDomestic</v>
      </c>
      <c r="J443" s="244">
        <v>0</v>
      </c>
    </row>
    <row r="444" spans="6:10">
      <c r="F444" s="242" t="s">
        <v>299</v>
      </c>
      <c r="G444" s="246" t="s">
        <v>6</v>
      </c>
      <c r="H444" s="246" t="s">
        <v>186</v>
      </c>
      <c r="I444" s="243" t="str">
        <f t="shared" si="18"/>
        <v>GiftFlavouredYCUSMA</v>
      </c>
      <c r="J444" s="248">
        <v>0</v>
      </c>
    </row>
    <row r="445" spans="6:10">
      <c r="F445" s="242" t="s">
        <v>299</v>
      </c>
      <c r="G445" s="243" t="s">
        <v>6</v>
      </c>
      <c r="H445" s="243" t="s">
        <v>88</v>
      </c>
      <c r="I445" s="243" t="str">
        <f t="shared" si="18"/>
        <v>GiftFlavouredYEU/CETA</v>
      </c>
      <c r="J445" s="244">
        <v>0</v>
      </c>
    </row>
    <row r="446" spans="6:10">
      <c r="F446" s="242" t="s">
        <v>299</v>
      </c>
      <c r="G446" s="246" t="s">
        <v>6</v>
      </c>
      <c r="H446" s="246" t="s">
        <v>10</v>
      </c>
      <c r="I446" s="243" t="str">
        <f t="shared" si="18"/>
        <v>GiftFlavouredYCPTPP</v>
      </c>
      <c r="J446" s="248">
        <v>0</v>
      </c>
    </row>
    <row r="447" spans="6:10">
      <c r="F447" s="243" t="s">
        <v>299</v>
      </c>
      <c r="G447" s="243" t="s">
        <v>6</v>
      </c>
      <c r="H447" s="243" t="s">
        <v>53</v>
      </c>
      <c r="I447" s="243" t="str">
        <f t="shared" si="18"/>
        <v>GiftFlavouredYOther</v>
      </c>
      <c r="J447" s="513">
        <v>0</v>
      </c>
    </row>
    <row r="448" spans="6:10">
      <c r="F448" s="243" t="s">
        <v>299</v>
      </c>
      <c r="G448" s="246" t="s">
        <v>6</v>
      </c>
      <c r="H448" s="246" t="s">
        <v>98</v>
      </c>
      <c r="I448" s="243" t="str">
        <f t="shared" si="18"/>
        <v>GiftFlavouredYDomestic</v>
      </c>
      <c r="J448" s="514">
        <v>0</v>
      </c>
    </row>
    <row r="449" spans="6:10">
      <c r="F449" s="243" t="s">
        <v>299</v>
      </c>
      <c r="G449" s="243" t="s">
        <v>60</v>
      </c>
      <c r="H449" s="515" t="s">
        <v>307</v>
      </c>
      <c r="I449" s="243" t="str">
        <f t="shared" ref="I449:I450" si="24">F449&amp;G449&amp;H449</f>
        <v>GiftFlavouredNCUFTA</v>
      </c>
      <c r="J449" s="513">
        <v>0</v>
      </c>
    </row>
    <row r="450" spans="6:10">
      <c r="F450" s="243" t="s">
        <v>299</v>
      </c>
      <c r="G450" s="246" t="s">
        <v>6</v>
      </c>
      <c r="H450" s="515" t="s">
        <v>307</v>
      </c>
      <c r="I450" s="243" t="str">
        <f t="shared" si="24"/>
        <v>GiftFlavouredYCUFTA</v>
      </c>
      <c r="J450" s="514">
        <v>0</v>
      </c>
    </row>
  </sheetData>
  <protectedRanges>
    <protectedRange sqref="B16 B31:B34 B37:B41" name="Range1"/>
  </protectedRanges>
  <autoFilter ref="F135:J365" xr:uid="{C8E8B6CD-7CF2-40BB-8292-C95CDB7EFD27}"/>
  <sortState xmlns:xlrd2="http://schemas.microsoft.com/office/spreadsheetml/2017/richdata2" ref="A148:D165">
    <sortCondition ref="A148:A165"/>
  </sortState>
  <mergeCells count="8">
    <mergeCell ref="M1:O2"/>
    <mergeCell ref="E17:F17"/>
    <mergeCell ref="M3:N3"/>
    <mergeCell ref="M4:M6"/>
    <mergeCell ref="M7:M9"/>
    <mergeCell ref="M10:M12"/>
    <mergeCell ref="M13:M15"/>
    <mergeCell ref="M16:M19"/>
  </mergeCells>
  <phoneticPr fontId="47" type="noConversion"/>
  <hyperlinks>
    <hyperlink ref="B17" r:id="rId1" location="Excise_duty_on_wine" xr:uid="{69EAD2F3-40A6-4162-AE35-160A694A9F50}"/>
  </hyperlinks>
  <pageMargins left="0.7" right="0.7" top="0.75" bottom="0.75" header="0.3" footer="0.3"/>
  <pageSetup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60FB-C40D-4758-8C1C-44FBDEA8AC3E}">
  <sheetPr codeName="Sheet6">
    <tabColor theme="6" tint="-0.249977111117893"/>
  </sheetPr>
  <dimension ref="B1:V89"/>
  <sheetViews>
    <sheetView zoomScale="115" zoomScaleNormal="115" workbookViewId="0">
      <selection activeCell="B1" sqref="B1"/>
    </sheetView>
  </sheetViews>
  <sheetFormatPr defaultColWidth="9.84375" defaultRowHeight="14.5"/>
  <cols>
    <col min="1" max="1" width="2.765625" style="1" customWidth="1"/>
    <col min="2" max="2" width="24.07421875" style="1" customWidth="1"/>
    <col min="3" max="3" width="27"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4" t="s">
        <v>507</v>
      </c>
      <c r="C1" s="3"/>
      <c r="D1" s="3"/>
      <c r="E1" s="3"/>
      <c r="F1" s="3"/>
      <c r="S1" s="6"/>
    </row>
    <row r="2" spans="2:22" ht="18.5">
      <c r="B2" s="174"/>
      <c r="C2" s="3"/>
      <c r="D2" s="3"/>
      <c r="E2" s="3"/>
      <c r="F2" s="3"/>
      <c r="S2" s="6"/>
    </row>
    <row r="3" spans="2:22" ht="15" thickBot="1">
      <c r="B3" s="59" t="s">
        <v>0</v>
      </c>
      <c r="C3" s="6"/>
      <c r="D3" s="3"/>
      <c r="E3" s="3"/>
      <c r="F3" s="6"/>
      <c r="I3" s="2"/>
      <c r="J3" s="39"/>
    </row>
    <row r="4" spans="2:22" ht="16" thickBot="1">
      <c r="B4" s="224" t="s">
        <v>61</v>
      </c>
      <c r="C4" s="406"/>
      <c r="D4" s="3"/>
      <c r="E4" s="3"/>
      <c r="F4" s="6"/>
      <c r="G4" s="65" t="s">
        <v>55</v>
      </c>
      <c r="H4" s="99"/>
      <c r="J4" s="291" t="s">
        <v>300</v>
      </c>
      <c r="K4" s="25"/>
      <c r="L4" s="292"/>
      <c r="M4" s="25"/>
      <c r="N4" s="25"/>
      <c r="O4" s="25"/>
      <c r="P4" s="115"/>
    </row>
    <row r="5" spans="2:22" ht="15" thickBot="1">
      <c r="B5" s="33" t="s">
        <v>64</v>
      </c>
      <c r="C5" s="404"/>
      <c r="D5" s="3"/>
      <c r="E5" s="3"/>
      <c r="F5" s="6"/>
      <c r="G5" s="40" t="s">
        <v>28</v>
      </c>
      <c r="H5" s="66">
        <f>C7*C6</f>
        <v>0</v>
      </c>
      <c r="J5" s="299"/>
      <c r="K5" s="300"/>
      <c r="L5" s="300"/>
      <c r="M5" s="300"/>
      <c r="N5" s="300"/>
      <c r="O5" s="300"/>
      <c r="P5" s="301"/>
    </row>
    <row r="6" spans="2:22" ht="15" thickBot="1">
      <c r="B6" s="33" t="s">
        <v>467</v>
      </c>
      <c r="C6" s="407"/>
      <c r="D6" s="3"/>
      <c r="E6" s="3"/>
      <c r="F6" s="6"/>
      <c r="G6" s="43" t="s">
        <v>30</v>
      </c>
      <c r="H6" s="289">
        <f>ROUND(+C9*C10*C22,4)</f>
        <v>0</v>
      </c>
      <c r="J6" s="293"/>
      <c r="K6" s="294"/>
      <c r="L6" s="294"/>
      <c r="M6" s="294"/>
      <c r="N6" s="294"/>
      <c r="O6" s="294"/>
      <c r="P6" s="295"/>
    </row>
    <row r="7" spans="2:22" ht="15" thickBot="1">
      <c r="B7" s="220" t="s">
        <v>14</v>
      </c>
      <c r="C7" s="408"/>
      <c r="D7" s="3"/>
      <c r="E7" s="3"/>
      <c r="F7" s="6"/>
      <c r="G7" s="43" t="s">
        <v>29</v>
      </c>
      <c r="H7" s="66">
        <f>ROUND(+C9*C10*C23,4)</f>
        <v>0</v>
      </c>
      <c r="J7" s="293"/>
      <c r="K7" s="294"/>
      <c r="L7" s="294"/>
      <c r="M7" s="294"/>
      <c r="N7" s="294"/>
      <c r="O7" s="294"/>
      <c r="P7" s="295"/>
      <c r="U7" s="6"/>
      <c r="V7" s="6"/>
    </row>
    <row r="8" spans="2:22" ht="15" thickBot="1">
      <c r="B8" s="222" t="s">
        <v>16</v>
      </c>
      <c r="C8" s="407"/>
      <c r="D8" s="3"/>
      <c r="E8" s="3"/>
      <c r="F8" s="6"/>
      <c r="G8" s="54" t="s">
        <v>71</v>
      </c>
      <c r="H8" s="66">
        <f>C8</f>
        <v>0</v>
      </c>
      <c r="J8" s="293"/>
      <c r="K8" s="294"/>
      <c r="L8" s="294"/>
      <c r="M8" s="294"/>
      <c r="N8" s="294"/>
      <c r="O8" s="294"/>
      <c r="P8" s="295"/>
      <c r="U8" s="6"/>
    </row>
    <row r="9" spans="2:22" ht="15" thickBot="1">
      <c r="B9" s="221" t="s">
        <v>18</v>
      </c>
      <c r="C9" s="409"/>
      <c r="D9" s="3"/>
      <c r="E9" s="3"/>
      <c r="F9" s="6"/>
      <c r="G9" s="43" t="s">
        <v>31</v>
      </c>
      <c r="H9" s="155">
        <f>SUM(H5:H8)</f>
        <v>0</v>
      </c>
      <c r="J9" s="293"/>
      <c r="K9" s="294"/>
      <c r="L9" s="294"/>
      <c r="M9" s="294"/>
      <c r="N9" s="294"/>
      <c r="O9" s="294"/>
      <c r="P9" s="295"/>
      <c r="U9" s="6"/>
    </row>
    <row r="10" spans="2:22" ht="15" thickBot="1">
      <c r="B10" s="220" t="s">
        <v>20</v>
      </c>
      <c r="C10" s="410"/>
      <c r="D10" s="3"/>
      <c r="E10" s="3"/>
      <c r="F10" s="6"/>
      <c r="G10" s="43" t="s">
        <v>72</v>
      </c>
      <c r="H10" s="66">
        <f>ROUND(+C15*C9*C10,4)</f>
        <v>0</v>
      </c>
      <c r="J10" s="293"/>
      <c r="K10" s="294"/>
      <c r="L10" s="294"/>
      <c r="M10" s="294"/>
      <c r="N10" s="294"/>
      <c r="O10" s="294"/>
      <c r="P10" s="295"/>
    </row>
    <row r="11" spans="2:22" ht="15" thickBot="1">
      <c r="B11" s="220" t="s">
        <v>22</v>
      </c>
      <c r="C11" s="410"/>
      <c r="D11" s="3"/>
      <c r="E11" s="3"/>
      <c r="F11" s="6"/>
      <c r="G11" s="43" t="s">
        <v>73</v>
      </c>
      <c r="H11" s="66">
        <f>ROUND(+C16*C9*C10,4)</f>
        <v>0</v>
      </c>
      <c r="J11" s="293"/>
      <c r="K11" s="294"/>
      <c r="L11" s="294"/>
      <c r="M11" s="294"/>
      <c r="N11" s="294"/>
      <c r="O11" s="294"/>
      <c r="P11" s="295"/>
    </row>
    <row r="12" spans="2:22" ht="15" thickBot="1">
      <c r="B12" s="223" t="s">
        <v>24</v>
      </c>
      <c r="C12" s="411"/>
      <c r="D12" s="524" t="s">
        <v>306</v>
      </c>
      <c r="E12" s="525"/>
      <c r="F12" s="6"/>
      <c r="G12" s="43" t="s">
        <v>57</v>
      </c>
      <c r="H12" s="156" t="e">
        <f>ROUND((C9*C10)*C17,4)</f>
        <v>#N/A</v>
      </c>
      <c r="J12" s="293"/>
      <c r="K12" s="294"/>
      <c r="L12" s="294"/>
      <c r="M12" s="294"/>
      <c r="N12" s="294"/>
      <c r="O12" s="294"/>
      <c r="P12" s="295"/>
    </row>
    <row r="13" spans="2:22" ht="15" thickBot="1">
      <c r="B13" s="350" t="s">
        <v>26</v>
      </c>
      <c r="C13" s="351" t="e">
        <f>H25</f>
        <v>#N/A</v>
      </c>
      <c r="D13" s="440" t="e">
        <f>H20+H24</f>
        <v>#N/A</v>
      </c>
      <c r="E13" s="321" t="e">
        <f>C13-D13</f>
        <v>#N/A</v>
      </c>
      <c r="F13" s="6"/>
      <c r="G13" s="43" t="s">
        <v>34</v>
      </c>
      <c r="H13" s="66" t="e">
        <f>H9+H10+H11+H12</f>
        <v>#N/A</v>
      </c>
      <c r="I13" s="148"/>
      <c r="J13" s="293"/>
      <c r="K13" s="294"/>
      <c r="L13" s="294"/>
      <c r="M13" s="294"/>
      <c r="N13" s="294"/>
      <c r="O13" s="294"/>
      <c r="P13" s="295"/>
    </row>
    <row r="14" spans="2:22" ht="15" thickBot="1">
      <c r="B14" s="149"/>
      <c r="C14" s="178"/>
      <c r="D14" s="3"/>
      <c r="E14" s="3"/>
      <c r="F14" s="6"/>
      <c r="G14" s="27"/>
      <c r="H14" s="66"/>
      <c r="I14" s="148"/>
      <c r="J14" s="293"/>
      <c r="K14" s="294"/>
      <c r="L14" s="294"/>
      <c r="M14" s="294"/>
      <c r="N14" s="294"/>
      <c r="O14" s="294"/>
      <c r="P14" s="295"/>
    </row>
    <row r="15" spans="2:22">
      <c r="B15" s="145" t="s">
        <v>63</v>
      </c>
      <c r="C15" s="358">
        <f>Rates!C3</f>
        <v>0.74109999999999998</v>
      </c>
      <c r="D15" s="352"/>
      <c r="E15" s="352"/>
      <c r="F15" s="325"/>
      <c r="G15" s="43" t="s">
        <v>35</v>
      </c>
      <c r="H15" s="68" t="e">
        <f>H13/C10</f>
        <v>#N/A</v>
      </c>
      <c r="J15" s="293"/>
      <c r="K15" s="294"/>
      <c r="L15" s="294"/>
      <c r="M15" s="294"/>
      <c r="N15" s="294"/>
      <c r="O15" s="294"/>
      <c r="P15" s="295"/>
    </row>
    <row r="16" spans="2:22">
      <c r="B16" s="146" t="s">
        <v>66</v>
      </c>
      <c r="C16" s="369">
        <f>Rates!C4</f>
        <v>0.2006</v>
      </c>
      <c r="D16" s="352"/>
      <c r="E16" s="352"/>
      <c r="F16" s="343"/>
      <c r="G16" s="43" t="s">
        <v>36</v>
      </c>
      <c r="H16" s="68">
        <f>ROUND(+C18*C9,4)</f>
        <v>0</v>
      </c>
      <c r="J16" s="293"/>
      <c r="K16" s="294"/>
      <c r="L16" s="294"/>
      <c r="M16" s="294"/>
      <c r="N16" s="294"/>
      <c r="O16" s="294"/>
      <c r="P16" s="295"/>
    </row>
    <row r="17" spans="2:18" ht="15" thickBot="1">
      <c r="B17" s="146" t="s">
        <v>67</v>
      </c>
      <c r="C17" s="371" t="e">
        <f>VLOOKUP(C4,Rates!A11:B12,2,FALSE)</f>
        <v>#N/A</v>
      </c>
      <c r="D17" s="353"/>
      <c r="E17" s="353"/>
      <c r="F17" s="344"/>
      <c r="G17" s="43" t="s">
        <v>19</v>
      </c>
      <c r="H17" s="277">
        <f>ROUND(+C19*C11,4)</f>
        <v>0</v>
      </c>
      <c r="J17" s="296"/>
      <c r="K17" s="297"/>
      <c r="L17" s="297"/>
      <c r="M17" s="297"/>
      <c r="N17" s="297"/>
      <c r="O17" s="297"/>
      <c r="P17" s="298"/>
      <c r="R17" s="10"/>
    </row>
    <row r="18" spans="2:18">
      <c r="B18" s="146" t="s">
        <v>68</v>
      </c>
      <c r="C18" s="369">
        <f>Rates!B7</f>
        <v>0.17599999999999999</v>
      </c>
      <c r="D18" s="354"/>
      <c r="E18" s="354"/>
      <c r="F18" s="343"/>
      <c r="G18" s="43" t="s">
        <v>38</v>
      </c>
      <c r="H18" s="68" t="e">
        <f>ROUND(SUM(H15:H17),4)</f>
        <v>#N/A</v>
      </c>
      <c r="Q18" s="6"/>
      <c r="R18" s="10"/>
    </row>
    <row r="19" spans="2:18">
      <c r="B19" s="146" t="s">
        <v>19</v>
      </c>
      <c r="C19" s="369">
        <f>Rates!B77</f>
        <v>8.9300000000000004E-2</v>
      </c>
      <c r="D19" s="352"/>
      <c r="E19" s="352"/>
      <c r="F19" s="343"/>
      <c r="G19" s="43" t="s">
        <v>21</v>
      </c>
      <c r="H19" s="278" t="e">
        <f>ROUND(+H18*C21,4)</f>
        <v>#N/A</v>
      </c>
    </row>
    <row r="20" spans="2:18">
      <c r="B20" s="43" t="s">
        <v>23</v>
      </c>
      <c r="C20" s="371" t="e">
        <f>VLOOKUP(C5,Rates!A82:B86,2,FALSE)</f>
        <v>#N/A</v>
      </c>
      <c r="D20" s="355"/>
      <c r="E20" s="355"/>
      <c r="F20" s="345"/>
      <c r="G20" s="43" t="s">
        <v>39</v>
      </c>
      <c r="H20" s="161" t="e">
        <f>ROUND(SUM(H18:H19),4)</f>
        <v>#N/A</v>
      </c>
      <c r="Q20" s="6"/>
    </row>
    <row r="21" spans="2:18">
      <c r="B21" s="146" t="s">
        <v>21</v>
      </c>
      <c r="C21" s="373">
        <f>Rates!B79</f>
        <v>0.13</v>
      </c>
      <c r="D21" s="356"/>
      <c r="E21" s="356"/>
      <c r="F21" s="343"/>
      <c r="G21" s="337" t="s">
        <v>305</v>
      </c>
      <c r="H21" s="161" t="e">
        <f>H23-H22</f>
        <v>#N/A</v>
      </c>
      <c r="Q21" s="6"/>
    </row>
    <row r="22" spans="2:18">
      <c r="B22" s="146" t="s">
        <v>69</v>
      </c>
      <c r="C22" s="370">
        <f>Rates!B39/100</f>
        <v>0.36950000000000005</v>
      </c>
      <c r="D22" s="353"/>
      <c r="E22" s="353"/>
      <c r="F22" s="343"/>
      <c r="G22" s="337" t="s">
        <v>21</v>
      </c>
      <c r="H22" s="278" t="e">
        <f>ROUND(+H23*(C21*100/(100+C21*100)),2)</f>
        <v>#N/A</v>
      </c>
      <c r="Q22" s="6"/>
    </row>
    <row r="23" spans="2:18" ht="15" thickBot="1">
      <c r="B23" s="147" t="s">
        <v>70</v>
      </c>
      <c r="C23" s="372">
        <f>Rates!B32</f>
        <v>0</v>
      </c>
      <c r="D23" s="357"/>
      <c r="E23" s="357"/>
      <c r="F23" s="343"/>
      <c r="G23" s="337" t="s">
        <v>49</v>
      </c>
      <c r="H23" s="161" t="e">
        <f>MAX(CEILING(H20,0.05))</f>
        <v>#N/A</v>
      </c>
      <c r="Q23" s="6"/>
      <c r="R23" s="8"/>
    </row>
    <row r="24" spans="2:18" ht="15" thickBot="1">
      <c r="F24" s="343"/>
      <c r="G24" s="43" t="s">
        <v>42</v>
      </c>
      <c r="H24" s="161" t="e">
        <f>C11*C20</f>
        <v>#N/A</v>
      </c>
    </row>
    <row r="25" spans="2:18" ht="16" thickBot="1">
      <c r="F25" s="343"/>
      <c r="G25" s="57" t="s">
        <v>75</v>
      </c>
      <c r="H25" s="58" t="e">
        <f>SUM(H23:H24)</f>
        <v>#N/A</v>
      </c>
    </row>
    <row r="26" spans="2:18">
      <c r="F26" s="346"/>
    </row>
    <row r="27" spans="2:18">
      <c r="F27" s="346"/>
      <c r="G27" s="1" t="s">
        <v>4</v>
      </c>
    </row>
    <row r="28" spans="2:18">
      <c r="F28" s="347"/>
      <c r="G28" s="228" t="s">
        <v>8</v>
      </c>
    </row>
    <row r="29" spans="2:18">
      <c r="F29" s="346"/>
    </row>
    <row r="30" spans="2:18">
      <c r="F30" s="348"/>
    </row>
    <row r="31" spans="2:18">
      <c r="F31" s="349"/>
    </row>
    <row r="32" spans="2:18">
      <c r="F32" s="349"/>
    </row>
    <row r="33" spans="2:17">
      <c r="F33" s="349"/>
    </row>
    <row r="34" spans="2:17">
      <c r="F34" s="348"/>
    </row>
    <row r="35" spans="2:17">
      <c r="F35" s="349"/>
    </row>
    <row r="36" spans="2:17">
      <c r="F36" s="349"/>
      <c r="Q36" s="117"/>
    </row>
    <row r="37" spans="2:17">
      <c r="F37" s="349"/>
    </row>
    <row r="38" spans="2:17">
      <c r="F38" s="290"/>
    </row>
    <row r="39" spans="2:17" ht="15.5">
      <c r="F39" s="336"/>
    </row>
    <row r="41" spans="2:17">
      <c r="B41" s="5"/>
      <c r="C41" s="118"/>
      <c r="D41" s="118"/>
      <c r="E41" s="118"/>
      <c r="F41" s="118"/>
      <c r="P41" s="4"/>
    </row>
    <row r="46" spans="2:17">
      <c r="C46" s="119"/>
      <c r="D46" s="119"/>
      <c r="E46" s="119"/>
      <c r="F46" s="119"/>
      <c r="P46" s="8"/>
    </row>
    <row r="47" spans="2:17">
      <c r="P47" s="8"/>
    </row>
    <row r="49" spans="2:18">
      <c r="C49" s="120"/>
      <c r="D49" s="120"/>
      <c r="E49" s="120"/>
      <c r="F49" s="120"/>
      <c r="P49" s="11"/>
    </row>
    <row r="50" spans="2:18">
      <c r="B50" s="121"/>
      <c r="C50" s="121"/>
      <c r="D50" s="121"/>
      <c r="E50" s="121"/>
      <c r="F50" s="121"/>
      <c r="I50" s="8"/>
    </row>
    <row r="51" spans="2:18">
      <c r="B51" s="120"/>
      <c r="C51" s="120"/>
      <c r="D51" s="120"/>
      <c r="E51" s="120"/>
      <c r="F51" s="120"/>
      <c r="P51" s="8"/>
    </row>
    <row r="53" spans="2:18">
      <c r="P53" s="8"/>
    </row>
    <row r="54" spans="2:18">
      <c r="B54" s="8"/>
      <c r="C54" s="8"/>
      <c r="D54" s="8"/>
      <c r="E54" s="8"/>
      <c r="F54" s="8"/>
      <c r="P54" s="8"/>
    </row>
    <row r="55" spans="2:18">
      <c r="B55" s="8"/>
      <c r="C55" s="8"/>
      <c r="D55" s="8"/>
      <c r="E55" s="8"/>
      <c r="F55" s="8"/>
      <c r="P55" s="11"/>
    </row>
    <row r="56" spans="2:18">
      <c r="B56" s="8"/>
      <c r="C56" s="8"/>
      <c r="D56" s="8"/>
      <c r="E56" s="8"/>
      <c r="F56" s="8"/>
      <c r="I56" s="8"/>
      <c r="P56" s="8"/>
    </row>
    <row r="57" spans="2:18">
      <c r="B57" s="8"/>
      <c r="C57" s="8"/>
      <c r="D57" s="8"/>
      <c r="E57" s="8"/>
      <c r="F57" s="8"/>
      <c r="P57" s="8"/>
    </row>
    <row r="58" spans="2:18">
      <c r="B58" s="8"/>
      <c r="C58" s="8"/>
      <c r="D58" s="8"/>
      <c r="E58" s="8"/>
      <c r="F58" s="8"/>
      <c r="I58" s="11"/>
      <c r="R58" s="11"/>
    </row>
    <row r="59" spans="2:18">
      <c r="B59" s="8"/>
      <c r="C59" s="8"/>
      <c r="D59" s="8"/>
      <c r="E59" s="8"/>
      <c r="F59" s="8"/>
      <c r="P59" s="8"/>
    </row>
    <row r="60" spans="2:18">
      <c r="B60" s="8"/>
      <c r="C60" s="8"/>
      <c r="D60" s="8"/>
      <c r="E60" s="8"/>
      <c r="F60" s="8"/>
      <c r="P60" s="8"/>
      <c r="Q60" s="122"/>
      <c r="R60" s="123"/>
    </row>
    <row r="61" spans="2:18">
      <c r="B61" s="8"/>
      <c r="C61" s="8"/>
      <c r="D61" s="8"/>
      <c r="E61" s="8"/>
      <c r="F61" s="8"/>
      <c r="P61" s="11"/>
    </row>
    <row r="62" spans="2:18">
      <c r="B62" s="8"/>
      <c r="C62" s="8"/>
      <c r="D62" s="8"/>
      <c r="E62" s="8"/>
      <c r="F62" s="8"/>
      <c r="I62" s="8"/>
      <c r="P62" s="8"/>
      <c r="Q62" s="124"/>
      <c r="R62" s="8"/>
    </row>
    <row r="63" spans="2:18">
      <c r="B63" s="8"/>
      <c r="C63" s="8"/>
      <c r="D63" s="8"/>
      <c r="E63" s="8"/>
      <c r="F63" s="8"/>
      <c r="P63" s="11"/>
      <c r="R63" s="8"/>
    </row>
    <row r="64" spans="2:18">
      <c r="B64" s="8"/>
      <c r="C64" s="8"/>
      <c r="D64" s="8"/>
      <c r="E64" s="8"/>
      <c r="F64" s="8"/>
      <c r="I64" s="11"/>
      <c r="P64" s="8"/>
      <c r="R64" s="11"/>
    </row>
    <row r="65" spans="2:16">
      <c r="B65" s="8"/>
      <c r="C65" s="8"/>
      <c r="D65" s="8"/>
      <c r="E65" s="8"/>
      <c r="F65" s="8"/>
      <c r="P65" s="123"/>
    </row>
    <row r="66" spans="2:16">
      <c r="B66" s="8"/>
      <c r="C66" s="8"/>
      <c r="D66" s="8"/>
      <c r="E66" s="8"/>
      <c r="F66" s="8"/>
      <c r="I66" s="11"/>
      <c r="P66" s="8"/>
    </row>
    <row r="67" spans="2:16">
      <c r="B67" s="8"/>
      <c r="C67" s="8"/>
      <c r="D67" s="8"/>
      <c r="E67" s="8"/>
      <c r="F67" s="8"/>
      <c r="P67" s="11"/>
    </row>
    <row r="68" spans="2:16">
      <c r="B68" s="8"/>
      <c r="C68" s="8"/>
      <c r="D68" s="8"/>
      <c r="E68" s="8"/>
      <c r="F68" s="8"/>
      <c r="P68" s="8"/>
    </row>
    <row r="69" spans="2:16">
      <c r="B69" s="8"/>
      <c r="C69" s="8"/>
      <c r="D69" s="8"/>
      <c r="E69" s="8"/>
      <c r="F69" s="8"/>
      <c r="P69" s="8"/>
    </row>
    <row r="70" spans="2:16">
      <c r="I70" s="11"/>
      <c r="P70" s="8"/>
    </row>
    <row r="71" spans="2:16">
      <c r="P71" s="8"/>
    </row>
    <row r="73" spans="2:16">
      <c r="P73" s="125"/>
    </row>
    <row r="75" spans="2:16">
      <c r="P75" s="9"/>
    </row>
    <row r="76" spans="2:16">
      <c r="I76" s="11"/>
    </row>
    <row r="78" spans="2:16">
      <c r="I78" s="9"/>
    </row>
    <row r="79" spans="2:16">
      <c r="P79" s="9"/>
    </row>
    <row r="82" spans="3:16">
      <c r="I82" s="9"/>
    </row>
    <row r="83" spans="3:16">
      <c r="C83" s="9"/>
      <c r="D83" s="9"/>
      <c r="E83" s="9"/>
      <c r="F83" s="9"/>
    </row>
    <row r="85" spans="3:16">
      <c r="P85" s="9"/>
    </row>
    <row r="88" spans="3:16">
      <c r="I88" s="9"/>
    </row>
    <row r="89" spans="3:16">
      <c r="C89" s="9"/>
      <c r="D89" s="9"/>
      <c r="E89" s="9"/>
      <c r="F89" s="9"/>
    </row>
  </sheetData>
  <sheetProtection formatColumns="0" autoFilter="0" pivotTables="0"/>
  <protectedRanges>
    <protectedRange sqref="C22:E23 C4 C17:E17 C6:C13 C20:E20" name="Range1"/>
    <protectedRange password="CCE3" sqref="B20" name="Range3_1"/>
  </protectedRanges>
  <mergeCells count="1">
    <mergeCell ref="D12:E12"/>
  </mergeCells>
  <conditionalFormatting sqref="E13">
    <cfRule type="cellIs" dxfId="41" priority="1" operator="lessThan">
      <formula>0</formula>
    </cfRule>
    <cfRule type="cellIs" dxfId="40" priority="2" operator="greaterThan">
      <formula>0</formula>
    </cfRule>
    <cfRule type="cellIs" dxfId="39" priority="3" operator="greaterThan">
      <formula>0</formula>
    </cfRule>
  </conditionalFormatting>
  <hyperlinks>
    <hyperlink ref="G28" r:id="rId1" display="https://www.doingbusinesswithlcbo.com/content/dbwl/en/basepage/home/new-supplier-agent/Pricing/HelpfulToolsandLinks.html" xr:uid="{4629B39B-74DE-498E-BC84-F4C824659D3C}"/>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C85DDB8-6F75-4729-A238-66C4F988AE79}">
          <x14:formula1>
            <xm:f>Rates!$B$94:$B$95</xm:f>
          </x14:formula1>
          <xm:sqref>C4</xm:sqref>
        </x14:dataValidation>
        <x14:dataValidation type="list" allowBlank="1" showInputMessage="1" showErrorMessage="1" xr:uid="{3CD34596-2F86-460A-B7B2-DF54B9B7B1E0}">
          <x14:formula1>
            <xm:f>Rates!$A$82:$A$86</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08DB-0473-486F-9A5E-E8D92E526868}">
  <sheetPr codeName="Sheet7">
    <tabColor theme="6" tint="-0.249977111117893"/>
  </sheetPr>
  <dimension ref="B1:V62"/>
  <sheetViews>
    <sheetView zoomScaleNormal="100" zoomScaleSheetLayoutView="10" workbookViewId="0">
      <selection activeCell="B1" sqref="B1"/>
    </sheetView>
  </sheetViews>
  <sheetFormatPr defaultColWidth="9.765625" defaultRowHeight="14.5"/>
  <cols>
    <col min="1" max="1" width="2.3046875" style="1" customWidth="1"/>
    <col min="2" max="2" width="30.84375" style="1" customWidth="1"/>
    <col min="3" max="3" width="25.23046875" style="6" customWidth="1"/>
    <col min="4" max="4" width="9.69140625" style="6" customWidth="1"/>
    <col min="5" max="5" width="12" style="6" customWidth="1"/>
    <col min="6" max="6" width="1.84375" style="6" customWidth="1"/>
    <col min="7" max="7" width="23" style="6" bestFit="1" customWidth="1"/>
    <col min="8" max="8" width="20.69140625" style="6" customWidth="1"/>
    <col min="9" max="9" width="4.765625" style="6" customWidth="1"/>
    <col min="10" max="10" width="22.84375" style="1" bestFit="1" customWidth="1"/>
    <col min="11" max="11" width="20.69140625" style="1" customWidth="1"/>
    <col min="12" max="12" width="9.69140625" style="1" customWidth="1"/>
    <col min="13" max="13" width="13.53515625" style="1" customWidth="1"/>
    <col min="14" max="14" width="5.23046875" style="36" bestFit="1" customWidth="1"/>
    <col min="15" max="15" width="10.3046875" style="36" customWidth="1"/>
    <col min="16" max="16" width="7.765625" style="36" bestFit="1" customWidth="1"/>
    <col min="17" max="17" width="8.23046875" style="36" bestFit="1" customWidth="1"/>
    <col min="18" max="18" width="14.4609375" style="36" customWidth="1"/>
    <col min="19" max="21" width="9.765625" style="36"/>
    <col min="22" max="16384" width="9.765625" style="1"/>
  </cols>
  <sheetData>
    <row r="1" spans="2:22" ht="18.5">
      <c r="B1" s="174" t="s">
        <v>507</v>
      </c>
      <c r="C1" s="3"/>
      <c r="D1" s="3"/>
      <c r="E1" s="3"/>
      <c r="F1" s="3"/>
      <c r="G1" s="3"/>
      <c r="H1" s="3"/>
      <c r="I1" s="1"/>
      <c r="N1" s="1"/>
      <c r="O1" s="1"/>
      <c r="P1" s="1"/>
      <c r="Q1" s="1"/>
      <c r="R1" s="1"/>
      <c r="S1" s="1"/>
      <c r="T1" s="6"/>
      <c r="U1" s="1"/>
    </row>
    <row r="2" spans="2:22">
      <c r="B2" s="21"/>
      <c r="C2" s="1"/>
      <c r="D2" s="1"/>
      <c r="E2" s="1"/>
      <c r="F2" s="1"/>
      <c r="G2" s="1"/>
      <c r="H2" s="1"/>
      <c r="I2" s="2"/>
      <c r="J2" s="2"/>
      <c r="N2" s="1"/>
      <c r="O2" s="1"/>
      <c r="P2" s="1"/>
      <c r="Q2" s="1"/>
      <c r="R2" s="6"/>
      <c r="S2" s="1"/>
      <c r="T2" s="1"/>
      <c r="U2" s="1"/>
    </row>
    <row r="3" spans="2:22" ht="15" thickBot="1">
      <c r="B3" s="59" t="s">
        <v>0</v>
      </c>
      <c r="C3" s="1"/>
      <c r="D3" s="1"/>
      <c r="E3" s="1"/>
      <c r="F3" s="1"/>
      <c r="G3" s="1"/>
      <c r="H3" s="1"/>
      <c r="I3" s="2"/>
      <c r="J3" s="2"/>
      <c r="N3" s="1"/>
      <c r="O3" s="1"/>
      <c r="P3" s="1"/>
      <c r="Q3" s="1"/>
      <c r="R3" s="6"/>
      <c r="S3" s="1"/>
      <c r="T3" s="1"/>
      <c r="U3" s="1"/>
    </row>
    <row r="4" spans="2:22" ht="21.65" customHeight="1" thickBot="1">
      <c r="B4" s="225" t="s">
        <v>76</v>
      </c>
      <c r="C4" s="412"/>
      <c r="D4" s="1"/>
      <c r="E4" s="1"/>
      <c r="F4" s="1"/>
      <c r="G4" s="65" t="s">
        <v>55</v>
      </c>
      <c r="H4" s="99"/>
      <c r="J4" s="291" t="s">
        <v>300</v>
      </c>
      <c r="K4" s="25"/>
      <c r="L4" s="292"/>
      <c r="M4" s="25"/>
      <c r="N4" s="25"/>
      <c r="O4" s="25"/>
      <c r="P4" s="115"/>
      <c r="U4" s="1"/>
    </row>
    <row r="5" spans="2:22" ht="15" thickBot="1">
      <c r="B5" s="226" t="s">
        <v>61</v>
      </c>
      <c r="C5" s="404"/>
      <c r="D5" s="1"/>
      <c r="E5" s="1"/>
      <c r="F5" s="1"/>
      <c r="G5" s="162" t="s">
        <v>72</v>
      </c>
      <c r="H5" s="163">
        <f>C10*Rates!C3</f>
        <v>0</v>
      </c>
      <c r="J5" s="299"/>
      <c r="K5" s="300"/>
      <c r="L5" s="300"/>
      <c r="M5" s="300"/>
      <c r="N5" s="300"/>
      <c r="O5" s="300"/>
      <c r="P5" s="301"/>
      <c r="U5" s="1"/>
    </row>
    <row r="6" spans="2:22" ht="15" thickBot="1">
      <c r="B6" s="226" t="s">
        <v>78</v>
      </c>
      <c r="C6" s="413"/>
      <c r="D6" s="1"/>
      <c r="E6" s="1"/>
      <c r="F6" s="1"/>
      <c r="G6" s="164" t="s">
        <v>83</v>
      </c>
      <c r="H6" s="165">
        <f>IF(C6="LCBO Warehouse",C10*Rates!C4,0)</f>
        <v>0</v>
      </c>
      <c r="J6" s="293"/>
      <c r="K6" s="294"/>
      <c r="L6" s="294"/>
      <c r="M6" s="294"/>
      <c r="N6" s="294"/>
      <c r="O6" s="294"/>
      <c r="P6" s="295"/>
      <c r="U6" s="1"/>
    </row>
    <row r="7" spans="2:22" ht="15" thickBot="1">
      <c r="B7" s="226" t="s">
        <v>80</v>
      </c>
      <c r="C7" s="413"/>
      <c r="D7" s="1"/>
      <c r="E7" s="1"/>
      <c r="F7" s="1"/>
      <c r="G7" s="164" t="s">
        <v>84</v>
      </c>
      <c r="H7" s="165">
        <f>IF(C5="Micro",Rates!B11*C10,Rates!B12*C10)</f>
        <v>0</v>
      </c>
      <c r="J7" s="293"/>
      <c r="K7" s="294"/>
      <c r="L7" s="294"/>
      <c r="M7" s="294"/>
      <c r="N7" s="294"/>
      <c r="O7" s="294"/>
      <c r="P7" s="295"/>
      <c r="R7" s="133"/>
      <c r="U7" s="6"/>
      <c r="V7" s="6"/>
    </row>
    <row r="8" spans="2:22" ht="15" thickBot="1">
      <c r="B8" s="226" t="s">
        <v>64</v>
      </c>
      <c r="C8" s="413"/>
      <c r="D8" s="1"/>
      <c r="E8" s="1"/>
      <c r="F8" s="1"/>
      <c r="G8" s="164" t="s">
        <v>36</v>
      </c>
      <c r="H8" s="165">
        <f>C10*Rates!B7</f>
        <v>0</v>
      </c>
      <c r="J8" s="293"/>
      <c r="K8" s="294"/>
      <c r="L8" s="294"/>
      <c r="M8" s="294"/>
      <c r="N8" s="294"/>
      <c r="O8" s="294"/>
      <c r="P8" s="295"/>
      <c r="U8" s="6"/>
    </row>
    <row r="9" spans="2:22" ht="15" thickBot="1">
      <c r="B9" s="222" t="s">
        <v>16</v>
      </c>
      <c r="C9" s="401"/>
      <c r="D9" s="1"/>
      <c r="E9" s="1"/>
      <c r="F9" s="1"/>
      <c r="G9" s="164" t="s">
        <v>19</v>
      </c>
      <c r="H9" s="165">
        <f>IF(C7="Yes",0,C12*Rates!B77)</f>
        <v>0</v>
      </c>
      <c r="J9" s="293"/>
      <c r="K9" s="294"/>
      <c r="L9" s="294"/>
      <c r="M9" s="294"/>
      <c r="N9" s="294"/>
      <c r="O9" s="294"/>
      <c r="P9" s="295"/>
      <c r="U9" s="6"/>
    </row>
    <row r="10" spans="2:22" ht="15" thickBot="1">
      <c r="B10" s="221" t="s">
        <v>18</v>
      </c>
      <c r="C10" s="403"/>
      <c r="D10" s="1"/>
      <c r="E10" s="1"/>
      <c r="F10" s="1"/>
      <c r="G10" s="164" t="s">
        <v>85</v>
      </c>
      <c r="H10" s="165">
        <v>0</v>
      </c>
      <c r="J10" s="293"/>
      <c r="K10" s="294"/>
      <c r="L10" s="294"/>
      <c r="M10" s="294"/>
      <c r="N10" s="294"/>
      <c r="O10" s="294"/>
      <c r="P10" s="295"/>
      <c r="U10" s="6"/>
    </row>
    <row r="11" spans="2:22" ht="15" thickBot="1">
      <c r="B11" s="220" t="s">
        <v>20</v>
      </c>
      <c r="C11" s="404"/>
      <c r="D11" s="1"/>
      <c r="E11" s="1"/>
      <c r="F11" s="1"/>
      <c r="G11" s="43" t="s">
        <v>38</v>
      </c>
      <c r="H11" s="165" t="e">
        <f>IF(C6="DirectDelivery/TBS",ROUND((H14-H5-H7-H8-H9),4),ROUND((H14-H5-H7-H8-H9-H6),4))</f>
        <v>#N/A</v>
      </c>
      <c r="J11" s="293"/>
      <c r="K11" s="294"/>
      <c r="L11" s="294"/>
      <c r="M11" s="294"/>
      <c r="N11" s="294"/>
      <c r="O11" s="294"/>
      <c r="P11" s="295"/>
      <c r="R11" s="133"/>
      <c r="S11" s="133"/>
      <c r="U11" s="6"/>
    </row>
    <row r="12" spans="2:22" ht="15" thickBot="1">
      <c r="B12" s="220" t="s">
        <v>22</v>
      </c>
      <c r="C12" s="404"/>
      <c r="D12" s="1"/>
      <c r="E12" s="1"/>
      <c r="F12" s="1"/>
      <c r="G12" s="164" t="s">
        <v>21</v>
      </c>
      <c r="H12" s="166" t="e">
        <f>ROUND(((H11*C22)*100)/100,2)</f>
        <v>#N/A</v>
      </c>
      <c r="J12" s="293"/>
      <c r="K12" s="294"/>
      <c r="L12" s="294"/>
      <c r="M12" s="294"/>
      <c r="N12" s="294"/>
      <c r="O12" s="294"/>
      <c r="P12" s="295"/>
      <c r="R12" s="134"/>
      <c r="U12" s="1"/>
    </row>
    <row r="13" spans="2:22" ht="15" thickBot="1">
      <c r="B13" s="223" t="s">
        <v>24</v>
      </c>
      <c r="C13" s="405"/>
      <c r="D13" s="524" t="s">
        <v>306</v>
      </c>
      <c r="E13" s="525"/>
      <c r="F13" s="1"/>
      <c r="G13" s="43" t="s">
        <v>39</v>
      </c>
      <c r="H13" s="165" t="e">
        <f>SUM(H11:H12)</f>
        <v>#N/A</v>
      </c>
      <c r="I13" s="138"/>
      <c r="J13" s="293"/>
      <c r="K13" s="294"/>
      <c r="L13" s="294"/>
      <c r="M13" s="294"/>
      <c r="N13" s="294"/>
      <c r="O13" s="294"/>
      <c r="P13" s="295"/>
      <c r="R13" s="134"/>
      <c r="U13" s="1"/>
    </row>
    <row r="14" spans="2:22" ht="19" thickBot="1">
      <c r="B14" s="144" t="s">
        <v>468</v>
      </c>
      <c r="C14" s="218" t="e">
        <f>H18</f>
        <v>#N/A</v>
      </c>
      <c r="D14" s="440" t="e">
        <f>H13+H17</f>
        <v>#N/A</v>
      </c>
      <c r="E14" s="321" t="e">
        <f>C14-D14</f>
        <v>#N/A</v>
      </c>
      <c r="F14" s="1"/>
      <c r="G14" s="337" t="s">
        <v>305</v>
      </c>
      <c r="H14" s="160" t="e">
        <f>C4-H17-H15</f>
        <v>#N/A</v>
      </c>
      <c r="I14" s="138"/>
      <c r="J14" s="293"/>
      <c r="K14" s="294"/>
      <c r="L14" s="294"/>
      <c r="M14" s="294"/>
      <c r="N14" s="294"/>
      <c r="O14" s="294"/>
      <c r="P14" s="295"/>
      <c r="R14" s="134"/>
      <c r="U14" s="1"/>
    </row>
    <row r="15" spans="2:22" s="24" customFormat="1" ht="19" thickBot="1">
      <c r="B15" s="136"/>
      <c r="C15" s="137"/>
      <c r="D15" s="1"/>
      <c r="E15" s="1"/>
      <c r="F15" s="1"/>
      <c r="G15" s="337" t="s">
        <v>21</v>
      </c>
      <c r="H15" s="167" t="e">
        <f>(C4-H17)/(1+(C22))*C22</f>
        <v>#N/A</v>
      </c>
      <c r="I15" s="138"/>
      <c r="J15" s="293"/>
      <c r="K15" s="294"/>
      <c r="L15" s="294"/>
      <c r="M15" s="294"/>
      <c r="N15" s="294"/>
      <c r="O15" s="294"/>
      <c r="P15" s="295"/>
      <c r="Q15" s="36"/>
      <c r="R15" s="134"/>
      <c r="S15" s="36"/>
      <c r="T15" s="36"/>
    </row>
    <row r="16" spans="2:22">
      <c r="B16" s="145" t="s">
        <v>63</v>
      </c>
      <c r="C16" s="67">
        <f>Rates!C3</f>
        <v>0.74109999999999998</v>
      </c>
      <c r="D16" s="325"/>
      <c r="E16" s="325"/>
      <c r="F16" s="325"/>
      <c r="G16" s="337" t="s">
        <v>49</v>
      </c>
      <c r="H16" s="160" t="e">
        <f>H14+H15+H17</f>
        <v>#N/A</v>
      </c>
      <c r="I16" s="1"/>
      <c r="J16" s="293"/>
      <c r="K16" s="294"/>
      <c r="L16" s="294"/>
      <c r="M16" s="294"/>
      <c r="N16" s="294"/>
      <c r="O16" s="294"/>
      <c r="P16" s="295"/>
      <c r="Q16" s="8"/>
      <c r="R16" s="1"/>
      <c r="S16" s="8"/>
      <c r="T16" s="1"/>
      <c r="U16" s="1"/>
    </row>
    <row r="17" spans="2:19" ht="15" thickBot="1">
      <c r="B17" s="146" t="s">
        <v>66</v>
      </c>
      <c r="C17" s="42">
        <f>Rates!C4</f>
        <v>0.2006</v>
      </c>
      <c r="D17" s="374"/>
      <c r="E17" s="374"/>
      <c r="F17" s="374"/>
      <c r="G17" s="43" t="s">
        <v>42</v>
      </c>
      <c r="H17" s="160" t="e">
        <f>C12*C21</f>
        <v>#N/A</v>
      </c>
      <c r="I17" s="139"/>
      <c r="J17" s="293"/>
      <c r="K17" s="294"/>
      <c r="L17" s="294"/>
      <c r="M17" s="294"/>
      <c r="N17" s="294"/>
      <c r="O17" s="294"/>
      <c r="P17" s="295"/>
      <c r="Q17" s="134"/>
      <c r="S17" s="134"/>
    </row>
    <row r="18" spans="2:19" ht="19" thickBot="1">
      <c r="B18" s="146" t="s">
        <v>67</v>
      </c>
      <c r="C18" s="276" t="e">
        <f>VLOOKUP(C5,Rates!A11:B12,2,FALSE)</f>
        <v>#N/A</v>
      </c>
      <c r="D18" s="374"/>
      <c r="E18" s="374"/>
      <c r="F18" s="374"/>
      <c r="G18" s="128" t="s">
        <v>87</v>
      </c>
      <c r="H18" s="217" t="e">
        <f>(ROUND(H11,2)*C11)-C9</f>
        <v>#N/A</v>
      </c>
      <c r="I18" s="139"/>
      <c r="J18" s="296"/>
      <c r="K18" s="297"/>
      <c r="L18" s="297"/>
      <c r="M18" s="297"/>
      <c r="N18" s="297"/>
      <c r="O18" s="297"/>
      <c r="P18" s="298"/>
      <c r="Q18" s="134"/>
      <c r="S18" s="134"/>
    </row>
    <row r="19" spans="2:19" ht="15.75" customHeight="1">
      <c r="B19" s="146" t="s">
        <v>68</v>
      </c>
      <c r="C19" s="157">
        <f>Rates!B7</f>
        <v>0.17599999999999999</v>
      </c>
      <c r="D19" s="374"/>
      <c r="E19" s="374"/>
      <c r="F19" s="374"/>
      <c r="G19" s="374"/>
      <c r="H19" s="374"/>
      <c r="I19" s="139"/>
    </row>
    <row r="20" spans="2:19">
      <c r="B20" s="146" t="s">
        <v>19</v>
      </c>
      <c r="C20" s="42">
        <f>Rates!B77</f>
        <v>8.9300000000000004E-2</v>
      </c>
      <c r="D20" s="374"/>
      <c r="E20" s="374"/>
      <c r="F20" s="374"/>
      <c r="G20" s="1" t="s">
        <v>4</v>
      </c>
      <c r="H20" s="374"/>
      <c r="I20" s="140"/>
    </row>
    <row r="21" spans="2:19">
      <c r="B21" s="43" t="s">
        <v>23</v>
      </c>
      <c r="C21" s="160" t="e">
        <f>VLOOKUP(C8,Rates!A82:B86,2,FALSE)</f>
        <v>#N/A</v>
      </c>
      <c r="D21" s="374"/>
      <c r="E21" s="374"/>
      <c r="F21" s="374"/>
      <c r="G21" s="228" t="s">
        <v>8</v>
      </c>
      <c r="H21" s="375"/>
      <c r="I21" s="139"/>
    </row>
    <row r="22" spans="2:19">
      <c r="B22" s="146" t="s">
        <v>21</v>
      </c>
      <c r="C22" s="175">
        <f>Rates!B79</f>
        <v>0.13</v>
      </c>
      <c r="D22" s="374"/>
      <c r="E22" s="374"/>
      <c r="F22" s="374"/>
      <c r="G22" s="374"/>
      <c r="H22" s="374"/>
      <c r="I22" s="139"/>
    </row>
    <row r="23" spans="2:19">
      <c r="B23" s="146" t="s">
        <v>69</v>
      </c>
      <c r="C23" s="439">
        <f>Rates!B31</f>
        <v>0</v>
      </c>
      <c r="D23" s="374"/>
      <c r="E23" s="374"/>
      <c r="F23" s="374"/>
      <c r="G23" s="456" t="s">
        <v>350</v>
      </c>
      <c r="H23" s="457"/>
      <c r="I23" s="141"/>
    </row>
    <row r="24" spans="2:19" ht="15" thickBot="1">
      <c r="B24" s="147" t="s">
        <v>70</v>
      </c>
      <c r="C24" s="152">
        <f>Rates!B32</f>
        <v>0</v>
      </c>
      <c r="D24" s="375"/>
      <c r="E24" s="375"/>
      <c r="F24" s="375"/>
      <c r="G24" s="458" t="s">
        <v>351</v>
      </c>
      <c r="H24" s="459">
        <f>C9</f>
        <v>0</v>
      </c>
      <c r="I24" s="133"/>
      <c r="L24" s="455"/>
    </row>
    <row r="25" spans="2:19">
      <c r="D25" s="374"/>
      <c r="E25" s="374"/>
      <c r="F25" s="374"/>
      <c r="G25" s="458" t="s">
        <v>347</v>
      </c>
      <c r="H25" s="459" t="e">
        <f>C21*C11</f>
        <v>#N/A</v>
      </c>
      <c r="I25" s="133"/>
      <c r="L25" s="455"/>
    </row>
    <row r="26" spans="2:19">
      <c r="D26" s="376"/>
      <c r="E26" s="376"/>
      <c r="F26" s="376"/>
      <c r="G26" s="458" t="s">
        <v>67</v>
      </c>
      <c r="H26" s="460" t="e">
        <f>ROUND(C18*C10,4)*C11</f>
        <v>#N/A</v>
      </c>
      <c r="I26" s="133"/>
      <c r="L26" s="455"/>
    </row>
    <row r="27" spans="2:19">
      <c r="D27" s="355"/>
      <c r="E27" s="355"/>
      <c r="F27" s="355"/>
      <c r="G27" s="458" t="s">
        <v>346</v>
      </c>
      <c r="H27" s="461">
        <f>H9*C11</f>
        <v>0</v>
      </c>
      <c r="I27" s="142"/>
      <c r="L27" s="36"/>
    </row>
    <row r="28" spans="2:19">
      <c r="E28" s="377"/>
      <c r="F28" s="377"/>
      <c r="G28" s="462" t="s">
        <v>345</v>
      </c>
      <c r="H28" s="463">
        <f>H8*C11</f>
        <v>0</v>
      </c>
      <c r="I28" s="142"/>
    </row>
    <row r="29" spans="2:19">
      <c r="D29" s="355"/>
      <c r="E29" s="355"/>
      <c r="F29" s="355"/>
      <c r="G29" s="462" t="s">
        <v>343</v>
      </c>
      <c r="H29" s="464">
        <f>ROUND(C10*C16*C11,4)</f>
        <v>0</v>
      </c>
    </row>
    <row r="30" spans="2:19">
      <c r="D30" s="355"/>
      <c r="E30" s="355"/>
      <c r="F30" s="355"/>
      <c r="G30" s="458" t="s">
        <v>344</v>
      </c>
      <c r="H30" s="461">
        <f>H6*C11</f>
        <v>0</v>
      </c>
      <c r="I30" s="133"/>
      <c r="K30" s="36"/>
      <c r="L30" s="36"/>
    </row>
    <row r="31" spans="2:19">
      <c r="D31" s="355"/>
      <c r="E31" s="355"/>
      <c r="F31" s="355"/>
      <c r="G31" s="458" t="s">
        <v>348</v>
      </c>
      <c r="H31" s="467" t="e">
        <f>SUM(H23:H30)-H25</f>
        <v>#N/A</v>
      </c>
      <c r="I31" s="133"/>
      <c r="J31" s="36"/>
      <c r="K31" s="36"/>
      <c r="L31" s="36"/>
    </row>
    <row r="32" spans="2:19">
      <c r="D32" s="355"/>
      <c r="E32" s="355"/>
      <c r="F32" s="355"/>
      <c r="G32" s="458" t="s">
        <v>349</v>
      </c>
      <c r="H32" s="459" t="e">
        <f>ROUND(H31/C11,2)</f>
        <v>#N/A</v>
      </c>
      <c r="I32" s="143"/>
    </row>
    <row r="33" spans="7:16">
      <c r="G33" s="458" t="s">
        <v>21</v>
      </c>
      <c r="H33" s="459" t="e">
        <f>ROUND(H32*C22,2)</f>
        <v>#N/A</v>
      </c>
      <c r="I33" s="127"/>
    </row>
    <row r="34" spans="7:16">
      <c r="G34" s="458" t="s">
        <v>347</v>
      </c>
      <c r="H34" s="459" t="e">
        <f>C21*C12</f>
        <v>#N/A</v>
      </c>
      <c r="I34" s="129"/>
    </row>
    <row r="35" spans="7:16">
      <c r="G35" s="458" t="s">
        <v>49</v>
      </c>
      <c r="H35" s="459" t="e">
        <f>SUM(H32:H34)</f>
        <v>#N/A</v>
      </c>
    </row>
    <row r="36" spans="7:16">
      <c r="G36" s="465" t="s">
        <v>86</v>
      </c>
      <c r="H36" s="466" t="e">
        <f>IF(MOD(H35*1000,50)&gt;24.99,CEILING(H35,0.05),FLOOR(H35,0.05))</f>
        <v>#N/A</v>
      </c>
    </row>
    <row r="47" spans="7:16">
      <c r="P47" s="135"/>
    </row>
    <row r="50" spans="3:8">
      <c r="G50" s="1"/>
      <c r="H50" s="1"/>
    </row>
    <row r="51" spans="3:8">
      <c r="G51" s="1"/>
      <c r="H51" s="1"/>
    </row>
    <row r="52" spans="3:8">
      <c r="C52" s="1"/>
      <c r="D52" s="1"/>
      <c r="E52" s="1"/>
      <c r="F52" s="1"/>
      <c r="G52" s="1"/>
      <c r="H52" s="1"/>
    </row>
    <row r="53" spans="3:8">
      <c r="C53" s="1"/>
      <c r="D53" s="1"/>
      <c r="E53" s="1"/>
      <c r="F53" s="1"/>
      <c r="G53" s="1"/>
      <c r="H53" s="1"/>
    </row>
    <row r="54" spans="3:8">
      <c r="C54" s="1"/>
      <c r="D54" s="1"/>
      <c r="E54" s="1"/>
      <c r="F54" s="1"/>
      <c r="G54" s="1"/>
      <c r="H54" s="1"/>
    </row>
    <row r="55" spans="3:8">
      <c r="C55" s="1"/>
      <c r="D55" s="1"/>
      <c r="E55" s="1"/>
      <c r="F55" s="1"/>
      <c r="G55" s="1"/>
      <c r="H55" s="1"/>
    </row>
    <row r="56" spans="3:8">
      <c r="C56" s="1"/>
      <c r="D56" s="1"/>
      <c r="E56" s="1"/>
      <c r="F56" s="1"/>
      <c r="G56" s="1"/>
      <c r="H56" s="1"/>
    </row>
    <row r="57" spans="3:8">
      <c r="C57" s="1"/>
      <c r="D57" s="1"/>
      <c r="E57" s="1"/>
      <c r="F57" s="1"/>
      <c r="G57" s="1"/>
      <c r="H57" s="1"/>
    </row>
    <row r="58" spans="3:8">
      <c r="C58" s="1"/>
      <c r="D58" s="1"/>
      <c r="E58" s="1"/>
      <c r="F58" s="1"/>
      <c r="G58" s="1"/>
      <c r="H58" s="1"/>
    </row>
    <row r="59" spans="3:8">
      <c r="C59" s="1"/>
      <c r="D59" s="1"/>
      <c r="E59" s="1"/>
      <c r="F59" s="1"/>
      <c r="G59" s="1"/>
      <c r="H59" s="1"/>
    </row>
    <row r="60" spans="3:8">
      <c r="C60" s="1"/>
      <c r="D60" s="1"/>
      <c r="E60" s="1"/>
      <c r="F60" s="1"/>
      <c r="G60" s="1"/>
      <c r="H60" s="1"/>
    </row>
    <row r="61" spans="3:8">
      <c r="C61" s="1"/>
      <c r="D61" s="1"/>
      <c r="E61" s="1"/>
      <c r="F61" s="1"/>
    </row>
    <row r="62" spans="3:8">
      <c r="C62" s="1"/>
      <c r="D62" s="1"/>
      <c r="E62" s="1"/>
      <c r="F62" s="1"/>
    </row>
  </sheetData>
  <sheetProtection formatColumns="0" autoFilter="0" pivotTables="0"/>
  <protectedRanges>
    <protectedRange sqref="C4:C13" name="Modifiable Cells"/>
    <protectedRange sqref="C21 C23:C24 C18" name="Range1"/>
    <protectedRange password="CCE3" sqref="B21" name="Range3_1_1"/>
  </protectedRanges>
  <mergeCells count="1">
    <mergeCell ref="D13:E13"/>
  </mergeCells>
  <conditionalFormatting sqref="E14">
    <cfRule type="cellIs" dxfId="38" priority="1" operator="lessThan">
      <formula>0</formula>
    </cfRule>
    <cfRule type="cellIs" dxfId="37" priority="2" operator="greaterThan">
      <formula>0</formula>
    </cfRule>
    <cfRule type="cellIs" dxfId="36" priority="3" operator="greaterThan">
      <formula>0</formula>
    </cfRule>
  </conditionalFormatting>
  <hyperlinks>
    <hyperlink ref="G21" r:id="rId1" display="https://www.doingbusinesswithlcbo.com/content/dbwl/en/basepage/home/new-supplier-agent/Pricing/HelpfulToolsandLinks.html" xr:uid="{F570A2EE-E220-4E2E-B5C6-655AF55A0ACD}"/>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6891429-0CD4-4568-80BD-A574E3007864}">
          <x14:formula1>
            <xm:f>Rates!$C$94:$C$95</xm:f>
          </x14:formula1>
          <xm:sqref>G8</xm:sqref>
        </x14:dataValidation>
        <x14:dataValidation type="list" showInputMessage="1" showErrorMessage="1" xr:uid="{06A3EC1A-4942-4ABB-8468-5371E75F831F}">
          <x14:formula1>
            <xm:f>Rates!$E$94:$E$95</xm:f>
          </x14:formula1>
          <xm:sqref>C7 G7</xm:sqref>
        </x14:dataValidation>
        <x14:dataValidation type="list" showInputMessage="1" showErrorMessage="1" xr:uid="{1DF0B20E-50CB-47D6-8F72-D5E30F880F71}">
          <x14:formula1>
            <xm:f>Rates!$D$94:$D$95</xm:f>
          </x14:formula1>
          <xm:sqref>C6 G6</xm:sqref>
        </x14:dataValidation>
        <x14:dataValidation type="list" showInputMessage="1" showErrorMessage="1" xr:uid="{75B080AD-375C-4EB6-A8D0-6458441FAE7D}">
          <x14:formula1>
            <xm:f>Rates!$B$94:$B$95</xm:f>
          </x14:formula1>
          <xm:sqref>C5 G5</xm:sqref>
        </x14:dataValidation>
        <x14:dataValidation type="list" allowBlank="1" showInputMessage="1" showErrorMessage="1" xr:uid="{D964FF3B-534B-4E90-B1AD-36BD74B8E14B}">
          <x14:formula1>
            <xm:f>Rates!$A$82:$A$86</xm:f>
          </x14:formula1>
          <xm:sqref>C8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7086-DA68-4B58-A522-6D7FACB4AA0F}">
  <sheetPr codeName="Sheet8">
    <tabColor theme="6" tint="-0.249977111117893"/>
  </sheetPr>
  <dimension ref="B1:X86"/>
  <sheetViews>
    <sheetView zoomScale="115" zoomScaleNormal="115" workbookViewId="0">
      <selection activeCell="B1" sqref="B1"/>
    </sheetView>
  </sheetViews>
  <sheetFormatPr defaultColWidth="9.765625" defaultRowHeight="14.5"/>
  <cols>
    <col min="1" max="1" width="1.765625" style="1" customWidth="1"/>
    <col min="2" max="2" width="23.53515625" style="1" customWidth="1"/>
    <col min="3" max="3" width="20.69140625" style="1" customWidth="1"/>
    <col min="4" max="4" width="10.765625" style="1" customWidth="1"/>
    <col min="5" max="5" width="8.765625" style="1" customWidth="1"/>
    <col min="6" max="6" width="1.765625" style="1" customWidth="1"/>
    <col min="7" max="7" width="26.69140625" style="1" bestFit="1" customWidth="1"/>
    <col min="8" max="8" width="20.69140625" style="1" customWidth="1"/>
    <col min="9" max="9" width="1.765625" style="1" customWidth="1"/>
    <col min="10" max="10" width="17.69140625" style="1" bestFit="1" customWidth="1"/>
    <col min="11" max="11" width="12.3046875" style="1" customWidth="1"/>
    <col min="12" max="12" width="13.07421875" style="1" customWidth="1"/>
    <col min="13" max="13" width="8.23046875" style="1" customWidth="1"/>
    <col min="14" max="14" width="1.765625" style="1" customWidth="1"/>
    <col min="15" max="15" width="11.07421875" style="1" customWidth="1"/>
    <col min="16" max="16" width="11" style="1" customWidth="1"/>
    <col min="17" max="17" width="12.07421875" style="1" customWidth="1"/>
    <col min="18" max="18" width="7.765625" style="1" customWidth="1"/>
    <col min="19" max="19" width="14.4609375" style="1" customWidth="1"/>
    <col min="20" max="262" width="9.765625" style="1"/>
    <col min="263" max="263" width="22.4609375" style="1" customWidth="1"/>
    <col min="264" max="264" width="12.4609375" style="1" customWidth="1"/>
    <col min="265" max="265" width="8.765625" style="1" customWidth="1"/>
    <col min="266" max="266" width="20.765625" style="1" customWidth="1"/>
    <col min="267" max="267" width="18" style="1" customWidth="1"/>
    <col min="268" max="268" width="13.07421875" style="1" customWidth="1"/>
    <col min="269" max="269" width="8.23046875" style="1" customWidth="1"/>
    <col min="270" max="270" width="1.765625" style="1" customWidth="1"/>
    <col min="271" max="271" width="11.07421875" style="1" customWidth="1"/>
    <col min="272" max="272" width="11" style="1" customWidth="1"/>
    <col min="273" max="273" width="12.07421875" style="1" customWidth="1"/>
    <col min="274" max="274" width="7.765625" style="1" customWidth="1"/>
    <col min="275" max="275" width="14.4609375" style="1" customWidth="1"/>
    <col min="276" max="518" width="9.765625" style="1"/>
    <col min="519" max="519" width="22.4609375" style="1" customWidth="1"/>
    <col min="520" max="520" width="12.4609375" style="1" customWidth="1"/>
    <col min="521" max="521" width="8.765625" style="1" customWidth="1"/>
    <col min="522" max="522" width="20.765625" style="1" customWidth="1"/>
    <col min="523" max="523" width="18" style="1" customWidth="1"/>
    <col min="524" max="524" width="13.07421875" style="1" customWidth="1"/>
    <col min="525" max="525" width="8.23046875" style="1" customWidth="1"/>
    <col min="526" max="526" width="1.765625" style="1" customWidth="1"/>
    <col min="527" max="527" width="11.07421875" style="1" customWidth="1"/>
    <col min="528" max="528" width="11" style="1" customWidth="1"/>
    <col min="529" max="529" width="12.07421875" style="1" customWidth="1"/>
    <col min="530" max="530" width="7.765625" style="1" customWidth="1"/>
    <col min="531" max="531" width="14.4609375" style="1" customWidth="1"/>
    <col min="532" max="774" width="9.765625" style="1"/>
    <col min="775" max="775" width="22.4609375" style="1" customWidth="1"/>
    <col min="776" max="776" width="12.4609375" style="1" customWidth="1"/>
    <col min="777" max="777" width="8.765625" style="1" customWidth="1"/>
    <col min="778" max="778" width="20.765625" style="1" customWidth="1"/>
    <col min="779" max="779" width="18" style="1" customWidth="1"/>
    <col min="780" max="780" width="13.07421875" style="1" customWidth="1"/>
    <col min="781" max="781" width="8.23046875" style="1" customWidth="1"/>
    <col min="782" max="782" width="1.765625" style="1" customWidth="1"/>
    <col min="783" max="783" width="11.07421875" style="1" customWidth="1"/>
    <col min="784" max="784" width="11" style="1" customWidth="1"/>
    <col min="785" max="785" width="12.07421875" style="1" customWidth="1"/>
    <col min="786" max="786" width="7.765625" style="1" customWidth="1"/>
    <col min="787" max="787" width="14.4609375" style="1" customWidth="1"/>
    <col min="788" max="1030" width="9.765625" style="1"/>
    <col min="1031" max="1031" width="22.4609375" style="1" customWidth="1"/>
    <col min="1032" max="1032" width="12.4609375" style="1" customWidth="1"/>
    <col min="1033" max="1033" width="8.765625" style="1" customWidth="1"/>
    <col min="1034" max="1034" width="20.765625" style="1" customWidth="1"/>
    <col min="1035" max="1035" width="18" style="1" customWidth="1"/>
    <col min="1036" max="1036" width="13.07421875" style="1" customWidth="1"/>
    <col min="1037" max="1037" width="8.23046875" style="1" customWidth="1"/>
    <col min="1038" max="1038" width="1.765625" style="1" customWidth="1"/>
    <col min="1039" max="1039" width="11.07421875" style="1" customWidth="1"/>
    <col min="1040" max="1040" width="11" style="1" customWidth="1"/>
    <col min="1041" max="1041" width="12.07421875" style="1" customWidth="1"/>
    <col min="1042" max="1042" width="7.765625" style="1" customWidth="1"/>
    <col min="1043" max="1043" width="14.4609375" style="1" customWidth="1"/>
    <col min="1044" max="1286" width="9.765625" style="1"/>
    <col min="1287" max="1287" width="22.4609375" style="1" customWidth="1"/>
    <col min="1288" max="1288" width="12.4609375" style="1" customWidth="1"/>
    <col min="1289" max="1289" width="8.765625" style="1" customWidth="1"/>
    <col min="1290" max="1290" width="20.765625" style="1" customWidth="1"/>
    <col min="1291" max="1291" width="18" style="1" customWidth="1"/>
    <col min="1292" max="1292" width="13.07421875" style="1" customWidth="1"/>
    <col min="1293" max="1293" width="8.23046875" style="1" customWidth="1"/>
    <col min="1294" max="1294" width="1.765625" style="1" customWidth="1"/>
    <col min="1295" max="1295" width="11.07421875" style="1" customWidth="1"/>
    <col min="1296" max="1296" width="11" style="1" customWidth="1"/>
    <col min="1297" max="1297" width="12.07421875" style="1" customWidth="1"/>
    <col min="1298" max="1298" width="7.765625" style="1" customWidth="1"/>
    <col min="1299" max="1299" width="14.4609375" style="1" customWidth="1"/>
    <col min="1300" max="1542" width="9.765625" style="1"/>
    <col min="1543" max="1543" width="22.4609375" style="1" customWidth="1"/>
    <col min="1544" max="1544" width="12.4609375" style="1" customWidth="1"/>
    <col min="1545" max="1545" width="8.765625" style="1" customWidth="1"/>
    <col min="1546" max="1546" width="20.765625" style="1" customWidth="1"/>
    <col min="1547" max="1547" width="18" style="1" customWidth="1"/>
    <col min="1548" max="1548" width="13.07421875" style="1" customWidth="1"/>
    <col min="1549" max="1549" width="8.23046875" style="1" customWidth="1"/>
    <col min="1550" max="1550" width="1.765625" style="1" customWidth="1"/>
    <col min="1551" max="1551" width="11.07421875" style="1" customWidth="1"/>
    <col min="1552" max="1552" width="11" style="1" customWidth="1"/>
    <col min="1553" max="1553" width="12.07421875" style="1" customWidth="1"/>
    <col min="1554" max="1554" width="7.765625" style="1" customWidth="1"/>
    <col min="1555" max="1555" width="14.4609375" style="1" customWidth="1"/>
    <col min="1556" max="1798" width="9.765625" style="1"/>
    <col min="1799" max="1799" width="22.4609375" style="1" customWidth="1"/>
    <col min="1800" max="1800" width="12.4609375" style="1" customWidth="1"/>
    <col min="1801" max="1801" width="8.765625" style="1" customWidth="1"/>
    <col min="1802" max="1802" width="20.765625" style="1" customWidth="1"/>
    <col min="1803" max="1803" width="18" style="1" customWidth="1"/>
    <col min="1804" max="1804" width="13.07421875" style="1" customWidth="1"/>
    <col min="1805" max="1805" width="8.23046875" style="1" customWidth="1"/>
    <col min="1806" max="1806" width="1.765625" style="1" customWidth="1"/>
    <col min="1807" max="1807" width="11.07421875" style="1" customWidth="1"/>
    <col min="1808" max="1808" width="11" style="1" customWidth="1"/>
    <col min="1809" max="1809" width="12.07421875" style="1" customWidth="1"/>
    <col min="1810" max="1810" width="7.765625" style="1" customWidth="1"/>
    <col min="1811" max="1811" width="14.4609375" style="1" customWidth="1"/>
    <col min="1812" max="2054" width="9.765625" style="1"/>
    <col min="2055" max="2055" width="22.4609375" style="1" customWidth="1"/>
    <col min="2056" max="2056" width="12.4609375" style="1" customWidth="1"/>
    <col min="2057" max="2057" width="8.765625" style="1" customWidth="1"/>
    <col min="2058" max="2058" width="20.765625" style="1" customWidth="1"/>
    <col min="2059" max="2059" width="18" style="1" customWidth="1"/>
    <col min="2060" max="2060" width="13.07421875" style="1" customWidth="1"/>
    <col min="2061" max="2061" width="8.23046875" style="1" customWidth="1"/>
    <col min="2062" max="2062" width="1.765625" style="1" customWidth="1"/>
    <col min="2063" max="2063" width="11.07421875" style="1" customWidth="1"/>
    <col min="2064" max="2064" width="11" style="1" customWidth="1"/>
    <col min="2065" max="2065" width="12.07421875" style="1" customWidth="1"/>
    <col min="2066" max="2066" width="7.765625" style="1" customWidth="1"/>
    <col min="2067" max="2067" width="14.4609375" style="1" customWidth="1"/>
    <col min="2068" max="2310" width="9.765625" style="1"/>
    <col min="2311" max="2311" width="22.4609375" style="1" customWidth="1"/>
    <col min="2312" max="2312" width="12.4609375" style="1" customWidth="1"/>
    <col min="2313" max="2313" width="8.765625" style="1" customWidth="1"/>
    <col min="2314" max="2314" width="20.765625" style="1" customWidth="1"/>
    <col min="2315" max="2315" width="18" style="1" customWidth="1"/>
    <col min="2316" max="2316" width="13.07421875" style="1" customWidth="1"/>
    <col min="2317" max="2317" width="8.23046875" style="1" customWidth="1"/>
    <col min="2318" max="2318" width="1.765625" style="1" customWidth="1"/>
    <col min="2319" max="2319" width="11.07421875" style="1" customWidth="1"/>
    <col min="2320" max="2320" width="11" style="1" customWidth="1"/>
    <col min="2321" max="2321" width="12.07421875" style="1" customWidth="1"/>
    <col min="2322" max="2322" width="7.765625" style="1" customWidth="1"/>
    <col min="2323" max="2323" width="14.4609375" style="1" customWidth="1"/>
    <col min="2324" max="2566" width="9.765625" style="1"/>
    <col min="2567" max="2567" width="22.4609375" style="1" customWidth="1"/>
    <col min="2568" max="2568" width="12.4609375" style="1" customWidth="1"/>
    <col min="2569" max="2569" width="8.765625" style="1" customWidth="1"/>
    <col min="2570" max="2570" width="20.765625" style="1" customWidth="1"/>
    <col min="2571" max="2571" width="18" style="1" customWidth="1"/>
    <col min="2572" max="2572" width="13.07421875" style="1" customWidth="1"/>
    <col min="2573" max="2573" width="8.23046875" style="1" customWidth="1"/>
    <col min="2574" max="2574" width="1.765625" style="1" customWidth="1"/>
    <col min="2575" max="2575" width="11.07421875" style="1" customWidth="1"/>
    <col min="2576" max="2576" width="11" style="1" customWidth="1"/>
    <col min="2577" max="2577" width="12.07421875" style="1" customWidth="1"/>
    <col min="2578" max="2578" width="7.765625" style="1" customWidth="1"/>
    <col min="2579" max="2579" width="14.4609375" style="1" customWidth="1"/>
    <col min="2580" max="2822" width="9.765625" style="1"/>
    <col min="2823" max="2823" width="22.4609375" style="1" customWidth="1"/>
    <col min="2824" max="2824" width="12.4609375" style="1" customWidth="1"/>
    <col min="2825" max="2825" width="8.765625" style="1" customWidth="1"/>
    <col min="2826" max="2826" width="20.765625" style="1" customWidth="1"/>
    <col min="2827" max="2827" width="18" style="1" customWidth="1"/>
    <col min="2828" max="2828" width="13.07421875" style="1" customWidth="1"/>
    <col min="2829" max="2829" width="8.23046875" style="1" customWidth="1"/>
    <col min="2830" max="2830" width="1.765625" style="1" customWidth="1"/>
    <col min="2831" max="2831" width="11.07421875" style="1" customWidth="1"/>
    <col min="2832" max="2832" width="11" style="1" customWidth="1"/>
    <col min="2833" max="2833" width="12.07421875" style="1" customWidth="1"/>
    <col min="2834" max="2834" width="7.765625" style="1" customWidth="1"/>
    <col min="2835" max="2835" width="14.4609375" style="1" customWidth="1"/>
    <col min="2836" max="3078" width="9.765625" style="1"/>
    <col min="3079" max="3079" width="22.4609375" style="1" customWidth="1"/>
    <col min="3080" max="3080" width="12.4609375" style="1" customWidth="1"/>
    <col min="3081" max="3081" width="8.765625" style="1" customWidth="1"/>
    <col min="3082" max="3082" width="20.765625" style="1" customWidth="1"/>
    <col min="3083" max="3083" width="18" style="1" customWidth="1"/>
    <col min="3084" max="3084" width="13.07421875" style="1" customWidth="1"/>
    <col min="3085" max="3085" width="8.23046875" style="1" customWidth="1"/>
    <col min="3086" max="3086" width="1.765625" style="1" customWidth="1"/>
    <col min="3087" max="3087" width="11.07421875" style="1" customWidth="1"/>
    <col min="3088" max="3088" width="11" style="1" customWidth="1"/>
    <col min="3089" max="3089" width="12.07421875" style="1" customWidth="1"/>
    <col min="3090" max="3090" width="7.765625" style="1" customWidth="1"/>
    <col min="3091" max="3091" width="14.4609375" style="1" customWidth="1"/>
    <col min="3092" max="3334" width="9.765625" style="1"/>
    <col min="3335" max="3335" width="22.4609375" style="1" customWidth="1"/>
    <col min="3336" max="3336" width="12.4609375" style="1" customWidth="1"/>
    <col min="3337" max="3337" width="8.765625" style="1" customWidth="1"/>
    <col min="3338" max="3338" width="20.765625" style="1" customWidth="1"/>
    <col min="3339" max="3339" width="18" style="1" customWidth="1"/>
    <col min="3340" max="3340" width="13.07421875" style="1" customWidth="1"/>
    <col min="3341" max="3341" width="8.23046875" style="1" customWidth="1"/>
    <col min="3342" max="3342" width="1.765625" style="1" customWidth="1"/>
    <col min="3343" max="3343" width="11.07421875" style="1" customWidth="1"/>
    <col min="3344" max="3344" width="11" style="1" customWidth="1"/>
    <col min="3345" max="3345" width="12.07421875" style="1" customWidth="1"/>
    <col min="3346" max="3346" width="7.765625" style="1" customWidth="1"/>
    <col min="3347" max="3347" width="14.4609375" style="1" customWidth="1"/>
    <col min="3348" max="3590" width="9.765625" style="1"/>
    <col min="3591" max="3591" width="22.4609375" style="1" customWidth="1"/>
    <col min="3592" max="3592" width="12.4609375" style="1" customWidth="1"/>
    <col min="3593" max="3593" width="8.765625" style="1" customWidth="1"/>
    <col min="3594" max="3594" width="20.765625" style="1" customWidth="1"/>
    <col min="3595" max="3595" width="18" style="1" customWidth="1"/>
    <col min="3596" max="3596" width="13.07421875" style="1" customWidth="1"/>
    <col min="3597" max="3597" width="8.23046875" style="1" customWidth="1"/>
    <col min="3598" max="3598" width="1.765625" style="1" customWidth="1"/>
    <col min="3599" max="3599" width="11.07421875" style="1" customWidth="1"/>
    <col min="3600" max="3600" width="11" style="1" customWidth="1"/>
    <col min="3601" max="3601" width="12.07421875" style="1" customWidth="1"/>
    <col min="3602" max="3602" width="7.765625" style="1" customWidth="1"/>
    <col min="3603" max="3603" width="14.4609375" style="1" customWidth="1"/>
    <col min="3604" max="3846" width="9.765625" style="1"/>
    <col min="3847" max="3847" width="22.4609375" style="1" customWidth="1"/>
    <col min="3848" max="3848" width="12.4609375" style="1" customWidth="1"/>
    <col min="3849" max="3849" width="8.765625" style="1" customWidth="1"/>
    <col min="3850" max="3850" width="20.765625" style="1" customWidth="1"/>
    <col min="3851" max="3851" width="18" style="1" customWidth="1"/>
    <col min="3852" max="3852" width="13.07421875" style="1" customWidth="1"/>
    <col min="3853" max="3853" width="8.23046875" style="1" customWidth="1"/>
    <col min="3854" max="3854" width="1.765625" style="1" customWidth="1"/>
    <col min="3855" max="3855" width="11.07421875" style="1" customWidth="1"/>
    <col min="3856" max="3856" width="11" style="1" customWidth="1"/>
    <col min="3857" max="3857" width="12.07421875" style="1" customWidth="1"/>
    <col min="3858" max="3858" width="7.765625" style="1" customWidth="1"/>
    <col min="3859" max="3859" width="14.4609375" style="1" customWidth="1"/>
    <col min="3860" max="4102" width="9.765625" style="1"/>
    <col min="4103" max="4103" width="22.4609375" style="1" customWidth="1"/>
    <col min="4104" max="4104" width="12.4609375" style="1" customWidth="1"/>
    <col min="4105" max="4105" width="8.765625" style="1" customWidth="1"/>
    <col min="4106" max="4106" width="20.765625" style="1" customWidth="1"/>
    <col min="4107" max="4107" width="18" style="1" customWidth="1"/>
    <col min="4108" max="4108" width="13.07421875" style="1" customWidth="1"/>
    <col min="4109" max="4109" width="8.23046875" style="1" customWidth="1"/>
    <col min="4110" max="4110" width="1.765625" style="1" customWidth="1"/>
    <col min="4111" max="4111" width="11.07421875" style="1" customWidth="1"/>
    <col min="4112" max="4112" width="11" style="1" customWidth="1"/>
    <col min="4113" max="4113" width="12.07421875" style="1" customWidth="1"/>
    <col min="4114" max="4114" width="7.765625" style="1" customWidth="1"/>
    <col min="4115" max="4115" width="14.4609375" style="1" customWidth="1"/>
    <col min="4116" max="4358" width="9.765625" style="1"/>
    <col min="4359" max="4359" width="22.4609375" style="1" customWidth="1"/>
    <col min="4360" max="4360" width="12.4609375" style="1" customWidth="1"/>
    <col min="4361" max="4361" width="8.765625" style="1" customWidth="1"/>
    <col min="4362" max="4362" width="20.765625" style="1" customWidth="1"/>
    <col min="4363" max="4363" width="18" style="1" customWidth="1"/>
    <col min="4364" max="4364" width="13.07421875" style="1" customWidth="1"/>
    <col min="4365" max="4365" width="8.23046875" style="1" customWidth="1"/>
    <col min="4366" max="4366" width="1.765625" style="1" customWidth="1"/>
    <col min="4367" max="4367" width="11.07421875" style="1" customWidth="1"/>
    <col min="4368" max="4368" width="11" style="1" customWidth="1"/>
    <col min="4369" max="4369" width="12.07421875" style="1" customWidth="1"/>
    <col min="4370" max="4370" width="7.765625" style="1" customWidth="1"/>
    <col min="4371" max="4371" width="14.4609375" style="1" customWidth="1"/>
    <col min="4372" max="4614" width="9.765625" style="1"/>
    <col min="4615" max="4615" width="22.4609375" style="1" customWidth="1"/>
    <col min="4616" max="4616" width="12.4609375" style="1" customWidth="1"/>
    <col min="4617" max="4617" width="8.765625" style="1" customWidth="1"/>
    <col min="4618" max="4618" width="20.765625" style="1" customWidth="1"/>
    <col min="4619" max="4619" width="18" style="1" customWidth="1"/>
    <col min="4620" max="4620" width="13.07421875" style="1" customWidth="1"/>
    <col min="4621" max="4621" width="8.23046875" style="1" customWidth="1"/>
    <col min="4622" max="4622" width="1.765625" style="1" customWidth="1"/>
    <col min="4623" max="4623" width="11.07421875" style="1" customWidth="1"/>
    <col min="4624" max="4624" width="11" style="1" customWidth="1"/>
    <col min="4625" max="4625" width="12.07421875" style="1" customWidth="1"/>
    <col min="4626" max="4626" width="7.765625" style="1" customWidth="1"/>
    <col min="4627" max="4627" width="14.4609375" style="1" customWidth="1"/>
    <col min="4628" max="4870" width="9.765625" style="1"/>
    <col min="4871" max="4871" width="22.4609375" style="1" customWidth="1"/>
    <col min="4872" max="4872" width="12.4609375" style="1" customWidth="1"/>
    <col min="4873" max="4873" width="8.765625" style="1" customWidth="1"/>
    <col min="4874" max="4874" width="20.765625" style="1" customWidth="1"/>
    <col min="4875" max="4875" width="18" style="1" customWidth="1"/>
    <col min="4876" max="4876" width="13.07421875" style="1" customWidth="1"/>
    <col min="4877" max="4877" width="8.23046875" style="1" customWidth="1"/>
    <col min="4878" max="4878" width="1.765625" style="1" customWidth="1"/>
    <col min="4879" max="4879" width="11.07421875" style="1" customWidth="1"/>
    <col min="4880" max="4880" width="11" style="1" customWidth="1"/>
    <col min="4881" max="4881" width="12.07421875" style="1" customWidth="1"/>
    <col min="4882" max="4882" width="7.765625" style="1" customWidth="1"/>
    <col min="4883" max="4883" width="14.4609375" style="1" customWidth="1"/>
    <col min="4884" max="5126" width="9.765625" style="1"/>
    <col min="5127" max="5127" width="22.4609375" style="1" customWidth="1"/>
    <col min="5128" max="5128" width="12.4609375" style="1" customWidth="1"/>
    <col min="5129" max="5129" width="8.765625" style="1" customWidth="1"/>
    <col min="5130" max="5130" width="20.765625" style="1" customWidth="1"/>
    <col min="5131" max="5131" width="18" style="1" customWidth="1"/>
    <col min="5132" max="5132" width="13.07421875" style="1" customWidth="1"/>
    <col min="5133" max="5133" width="8.23046875" style="1" customWidth="1"/>
    <col min="5134" max="5134" width="1.765625" style="1" customWidth="1"/>
    <col min="5135" max="5135" width="11.07421875" style="1" customWidth="1"/>
    <col min="5136" max="5136" width="11" style="1" customWidth="1"/>
    <col min="5137" max="5137" width="12.07421875" style="1" customWidth="1"/>
    <col min="5138" max="5138" width="7.765625" style="1" customWidth="1"/>
    <col min="5139" max="5139" width="14.4609375" style="1" customWidth="1"/>
    <col min="5140" max="5382" width="9.765625" style="1"/>
    <col min="5383" max="5383" width="22.4609375" style="1" customWidth="1"/>
    <col min="5384" max="5384" width="12.4609375" style="1" customWidth="1"/>
    <col min="5385" max="5385" width="8.765625" style="1" customWidth="1"/>
    <col min="5386" max="5386" width="20.765625" style="1" customWidth="1"/>
    <col min="5387" max="5387" width="18" style="1" customWidth="1"/>
    <col min="5388" max="5388" width="13.07421875" style="1" customWidth="1"/>
    <col min="5389" max="5389" width="8.23046875" style="1" customWidth="1"/>
    <col min="5390" max="5390" width="1.765625" style="1" customWidth="1"/>
    <col min="5391" max="5391" width="11.07421875" style="1" customWidth="1"/>
    <col min="5392" max="5392" width="11" style="1" customWidth="1"/>
    <col min="5393" max="5393" width="12.07421875" style="1" customWidth="1"/>
    <col min="5394" max="5394" width="7.765625" style="1" customWidth="1"/>
    <col min="5395" max="5395" width="14.4609375" style="1" customWidth="1"/>
    <col min="5396" max="5638" width="9.765625" style="1"/>
    <col min="5639" max="5639" width="22.4609375" style="1" customWidth="1"/>
    <col min="5640" max="5640" width="12.4609375" style="1" customWidth="1"/>
    <col min="5641" max="5641" width="8.765625" style="1" customWidth="1"/>
    <col min="5642" max="5642" width="20.765625" style="1" customWidth="1"/>
    <col min="5643" max="5643" width="18" style="1" customWidth="1"/>
    <col min="5644" max="5644" width="13.07421875" style="1" customWidth="1"/>
    <col min="5645" max="5645" width="8.23046875" style="1" customWidth="1"/>
    <col min="5646" max="5646" width="1.765625" style="1" customWidth="1"/>
    <col min="5647" max="5647" width="11.07421875" style="1" customWidth="1"/>
    <col min="5648" max="5648" width="11" style="1" customWidth="1"/>
    <col min="5649" max="5649" width="12.07421875" style="1" customWidth="1"/>
    <col min="5650" max="5650" width="7.765625" style="1" customWidth="1"/>
    <col min="5651" max="5651" width="14.4609375" style="1" customWidth="1"/>
    <col min="5652" max="5894" width="9.765625" style="1"/>
    <col min="5895" max="5895" width="22.4609375" style="1" customWidth="1"/>
    <col min="5896" max="5896" width="12.4609375" style="1" customWidth="1"/>
    <col min="5897" max="5897" width="8.765625" style="1" customWidth="1"/>
    <col min="5898" max="5898" width="20.765625" style="1" customWidth="1"/>
    <col min="5899" max="5899" width="18" style="1" customWidth="1"/>
    <col min="5900" max="5900" width="13.07421875" style="1" customWidth="1"/>
    <col min="5901" max="5901" width="8.23046875" style="1" customWidth="1"/>
    <col min="5902" max="5902" width="1.765625" style="1" customWidth="1"/>
    <col min="5903" max="5903" width="11.07421875" style="1" customWidth="1"/>
    <col min="5904" max="5904" width="11" style="1" customWidth="1"/>
    <col min="5905" max="5905" width="12.07421875" style="1" customWidth="1"/>
    <col min="5906" max="5906" width="7.765625" style="1" customWidth="1"/>
    <col min="5907" max="5907" width="14.4609375" style="1" customWidth="1"/>
    <col min="5908" max="6150" width="9.765625" style="1"/>
    <col min="6151" max="6151" width="22.4609375" style="1" customWidth="1"/>
    <col min="6152" max="6152" width="12.4609375" style="1" customWidth="1"/>
    <col min="6153" max="6153" width="8.765625" style="1" customWidth="1"/>
    <col min="6154" max="6154" width="20.765625" style="1" customWidth="1"/>
    <col min="6155" max="6155" width="18" style="1" customWidth="1"/>
    <col min="6156" max="6156" width="13.07421875" style="1" customWidth="1"/>
    <col min="6157" max="6157" width="8.23046875" style="1" customWidth="1"/>
    <col min="6158" max="6158" width="1.765625" style="1" customWidth="1"/>
    <col min="6159" max="6159" width="11.07421875" style="1" customWidth="1"/>
    <col min="6160" max="6160" width="11" style="1" customWidth="1"/>
    <col min="6161" max="6161" width="12.07421875" style="1" customWidth="1"/>
    <col min="6162" max="6162" width="7.765625" style="1" customWidth="1"/>
    <col min="6163" max="6163" width="14.4609375" style="1" customWidth="1"/>
    <col min="6164" max="6406" width="9.765625" style="1"/>
    <col min="6407" max="6407" width="22.4609375" style="1" customWidth="1"/>
    <col min="6408" max="6408" width="12.4609375" style="1" customWidth="1"/>
    <col min="6409" max="6409" width="8.765625" style="1" customWidth="1"/>
    <col min="6410" max="6410" width="20.765625" style="1" customWidth="1"/>
    <col min="6411" max="6411" width="18" style="1" customWidth="1"/>
    <col min="6412" max="6412" width="13.07421875" style="1" customWidth="1"/>
    <col min="6413" max="6413" width="8.23046875" style="1" customWidth="1"/>
    <col min="6414" max="6414" width="1.765625" style="1" customWidth="1"/>
    <col min="6415" max="6415" width="11.07421875" style="1" customWidth="1"/>
    <col min="6416" max="6416" width="11" style="1" customWidth="1"/>
    <col min="6417" max="6417" width="12.07421875" style="1" customWidth="1"/>
    <col min="6418" max="6418" width="7.765625" style="1" customWidth="1"/>
    <col min="6419" max="6419" width="14.4609375" style="1" customWidth="1"/>
    <col min="6420" max="6662" width="9.765625" style="1"/>
    <col min="6663" max="6663" width="22.4609375" style="1" customWidth="1"/>
    <col min="6664" max="6664" width="12.4609375" style="1" customWidth="1"/>
    <col min="6665" max="6665" width="8.765625" style="1" customWidth="1"/>
    <col min="6666" max="6666" width="20.765625" style="1" customWidth="1"/>
    <col min="6667" max="6667" width="18" style="1" customWidth="1"/>
    <col min="6668" max="6668" width="13.07421875" style="1" customWidth="1"/>
    <col min="6669" max="6669" width="8.23046875" style="1" customWidth="1"/>
    <col min="6670" max="6670" width="1.765625" style="1" customWidth="1"/>
    <col min="6671" max="6671" width="11.07421875" style="1" customWidth="1"/>
    <col min="6672" max="6672" width="11" style="1" customWidth="1"/>
    <col min="6673" max="6673" width="12.07421875" style="1" customWidth="1"/>
    <col min="6674" max="6674" width="7.765625" style="1" customWidth="1"/>
    <col min="6675" max="6675" width="14.4609375" style="1" customWidth="1"/>
    <col min="6676" max="6918" width="9.765625" style="1"/>
    <col min="6919" max="6919" width="22.4609375" style="1" customWidth="1"/>
    <col min="6920" max="6920" width="12.4609375" style="1" customWidth="1"/>
    <col min="6921" max="6921" width="8.765625" style="1" customWidth="1"/>
    <col min="6922" max="6922" width="20.765625" style="1" customWidth="1"/>
    <col min="6923" max="6923" width="18" style="1" customWidth="1"/>
    <col min="6924" max="6924" width="13.07421875" style="1" customWidth="1"/>
    <col min="6925" max="6925" width="8.23046875" style="1" customWidth="1"/>
    <col min="6926" max="6926" width="1.765625" style="1" customWidth="1"/>
    <col min="6927" max="6927" width="11.07421875" style="1" customWidth="1"/>
    <col min="6928" max="6928" width="11" style="1" customWidth="1"/>
    <col min="6929" max="6929" width="12.07421875" style="1" customWidth="1"/>
    <col min="6930" max="6930" width="7.765625" style="1" customWidth="1"/>
    <col min="6931" max="6931" width="14.4609375" style="1" customWidth="1"/>
    <col min="6932" max="7174" width="9.765625" style="1"/>
    <col min="7175" max="7175" width="22.4609375" style="1" customWidth="1"/>
    <col min="7176" max="7176" width="12.4609375" style="1" customWidth="1"/>
    <col min="7177" max="7177" width="8.765625" style="1" customWidth="1"/>
    <col min="7178" max="7178" width="20.765625" style="1" customWidth="1"/>
    <col min="7179" max="7179" width="18" style="1" customWidth="1"/>
    <col min="7180" max="7180" width="13.07421875" style="1" customWidth="1"/>
    <col min="7181" max="7181" width="8.23046875" style="1" customWidth="1"/>
    <col min="7182" max="7182" width="1.765625" style="1" customWidth="1"/>
    <col min="7183" max="7183" width="11.07421875" style="1" customWidth="1"/>
    <col min="7184" max="7184" width="11" style="1" customWidth="1"/>
    <col min="7185" max="7185" width="12.07421875" style="1" customWidth="1"/>
    <col min="7186" max="7186" width="7.765625" style="1" customWidth="1"/>
    <col min="7187" max="7187" width="14.4609375" style="1" customWidth="1"/>
    <col min="7188" max="7430" width="9.765625" style="1"/>
    <col min="7431" max="7431" width="22.4609375" style="1" customWidth="1"/>
    <col min="7432" max="7432" width="12.4609375" style="1" customWidth="1"/>
    <col min="7433" max="7433" width="8.765625" style="1" customWidth="1"/>
    <col min="7434" max="7434" width="20.765625" style="1" customWidth="1"/>
    <col min="7435" max="7435" width="18" style="1" customWidth="1"/>
    <col min="7436" max="7436" width="13.07421875" style="1" customWidth="1"/>
    <col min="7437" max="7437" width="8.23046875" style="1" customWidth="1"/>
    <col min="7438" max="7438" width="1.765625" style="1" customWidth="1"/>
    <col min="7439" max="7439" width="11.07421875" style="1" customWidth="1"/>
    <col min="7440" max="7440" width="11" style="1" customWidth="1"/>
    <col min="7441" max="7441" width="12.07421875" style="1" customWidth="1"/>
    <col min="7442" max="7442" width="7.765625" style="1" customWidth="1"/>
    <col min="7443" max="7443" width="14.4609375" style="1" customWidth="1"/>
    <col min="7444" max="7686" width="9.765625" style="1"/>
    <col min="7687" max="7687" width="22.4609375" style="1" customWidth="1"/>
    <col min="7688" max="7688" width="12.4609375" style="1" customWidth="1"/>
    <col min="7689" max="7689" width="8.765625" style="1" customWidth="1"/>
    <col min="7690" max="7690" width="20.765625" style="1" customWidth="1"/>
    <col min="7691" max="7691" width="18" style="1" customWidth="1"/>
    <col min="7692" max="7692" width="13.07421875" style="1" customWidth="1"/>
    <col min="7693" max="7693" width="8.23046875" style="1" customWidth="1"/>
    <col min="7694" max="7694" width="1.765625" style="1" customWidth="1"/>
    <col min="7695" max="7695" width="11.07421875" style="1" customWidth="1"/>
    <col min="7696" max="7696" width="11" style="1" customWidth="1"/>
    <col min="7697" max="7697" width="12.07421875" style="1" customWidth="1"/>
    <col min="7698" max="7698" width="7.765625" style="1" customWidth="1"/>
    <col min="7699" max="7699" width="14.4609375" style="1" customWidth="1"/>
    <col min="7700" max="7942" width="9.765625" style="1"/>
    <col min="7943" max="7943" width="22.4609375" style="1" customWidth="1"/>
    <col min="7944" max="7944" width="12.4609375" style="1" customWidth="1"/>
    <col min="7945" max="7945" width="8.765625" style="1" customWidth="1"/>
    <col min="7946" max="7946" width="20.765625" style="1" customWidth="1"/>
    <col min="7947" max="7947" width="18" style="1" customWidth="1"/>
    <col min="7948" max="7948" width="13.07421875" style="1" customWidth="1"/>
    <col min="7949" max="7949" width="8.23046875" style="1" customWidth="1"/>
    <col min="7950" max="7950" width="1.765625" style="1" customWidth="1"/>
    <col min="7951" max="7951" width="11.07421875" style="1" customWidth="1"/>
    <col min="7952" max="7952" width="11" style="1" customWidth="1"/>
    <col min="7953" max="7953" width="12.07421875" style="1" customWidth="1"/>
    <col min="7954" max="7954" width="7.765625" style="1" customWidth="1"/>
    <col min="7955" max="7955" width="14.4609375" style="1" customWidth="1"/>
    <col min="7956" max="8198" width="9.765625" style="1"/>
    <col min="8199" max="8199" width="22.4609375" style="1" customWidth="1"/>
    <col min="8200" max="8200" width="12.4609375" style="1" customWidth="1"/>
    <col min="8201" max="8201" width="8.765625" style="1" customWidth="1"/>
    <col min="8202" max="8202" width="20.765625" style="1" customWidth="1"/>
    <col min="8203" max="8203" width="18" style="1" customWidth="1"/>
    <col min="8204" max="8204" width="13.07421875" style="1" customWidth="1"/>
    <col min="8205" max="8205" width="8.23046875" style="1" customWidth="1"/>
    <col min="8206" max="8206" width="1.765625" style="1" customWidth="1"/>
    <col min="8207" max="8207" width="11.07421875" style="1" customWidth="1"/>
    <col min="8208" max="8208" width="11" style="1" customWidth="1"/>
    <col min="8209" max="8209" width="12.07421875" style="1" customWidth="1"/>
    <col min="8210" max="8210" width="7.765625" style="1" customWidth="1"/>
    <col min="8211" max="8211" width="14.4609375" style="1" customWidth="1"/>
    <col min="8212" max="8454" width="9.765625" style="1"/>
    <col min="8455" max="8455" width="22.4609375" style="1" customWidth="1"/>
    <col min="8456" max="8456" width="12.4609375" style="1" customWidth="1"/>
    <col min="8457" max="8457" width="8.765625" style="1" customWidth="1"/>
    <col min="8458" max="8458" width="20.765625" style="1" customWidth="1"/>
    <col min="8459" max="8459" width="18" style="1" customWidth="1"/>
    <col min="8460" max="8460" width="13.07421875" style="1" customWidth="1"/>
    <col min="8461" max="8461" width="8.23046875" style="1" customWidth="1"/>
    <col min="8462" max="8462" width="1.765625" style="1" customWidth="1"/>
    <col min="8463" max="8463" width="11.07421875" style="1" customWidth="1"/>
    <col min="8464" max="8464" width="11" style="1" customWidth="1"/>
    <col min="8465" max="8465" width="12.07421875" style="1" customWidth="1"/>
    <col min="8466" max="8466" width="7.765625" style="1" customWidth="1"/>
    <col min="8467" max="8467" width="14.4609375" style="1" customWidth="1"/>
    <col min="8468" max="8710" width="9.765625" style="1"/>
    <col min="8711" max="8711" width="22.4609375" style="1" customWidth="1"/>
    <col min="8712" max="8712" width="12.4609375" style="1" customWidth="1"/>
    <col min="8713" max="8713" width="8.765625" style="1" customWidth="1"/>
    <col min="8714" max="8714" width="20.765625" style="1" customWidth="1"/>
    <col min="8715" max="8715" width="18" style="1" customWidth="1"/>
    <col min="8716" max="8716" width="13.07421875" style="1" customWidth="1"/>
    <col min="8717" max="8717" width="8.23046875" style="1" customWidth="1"/>
    <col min="8718" max="8718" width="1.765625" style="1" customWidth="1"/>
    <col min="8719" max="8719" width="11.07421875" style="1" customWidth="1"/>
    <col min="8720" max="8720" width="11" style="1" customWidth="1"/>
    <col min="8721" max="8721" width="12.07421875" style="1" customWidth="1"/>
    <col min="8722" max="8722" width="7.765625" style="1" customWidth="1"/>
    <col min="8723" max="8723" width="14.4609375" style="1" customWidth="1"/>
    <col min="8724" max="8966" width="9.765625" style="1"/>
    <col min="8967" max="8967" width="22.4609375" style="1" customWidth="1"/>
    <col min="8968" max="8968" width="12.4609375" style="1" customWidth="1"/>
    <col min="8969" max="8969" width="8.765625" style="1" customWidth="1"/>
    <col min="8970" max="8970" width="20.765625" style="1" customWidth="1"/>
    <col min="8971" max="8971" width="18" style="1" customWidth="1"/>
    <col min="8972" max="8972" width="13.07421875" style="1" customWidth="1"/>
    <col min="8973" max="8973" width="8.23046875" style="1" customWidth="1"/>
    <col min="8974" max="8974" width="1.765625" style="1" customWidth="1"/>
    <col min="8975" max="8975" width="11.07421875" style="1" customWidth="1"/>
    <col min="8976" max="8976" width="11" style="1" customWidth="1"/>
    <col min="8977" max="8977" width="12.07421875" style="1" customWidth="1"/>
    <col min="8978" max="8978" width="7.765625" style="1" customWidth="1"/>
    <col min="8979" max="8979" width="14.4609375" style="1" customWidth="1"/>
    <col min="8980" max="9222" width="9.765625" style="1"/>
    <col min="9223" max="9223" width="22.4609375" style="1" customWidth="1"/>
    <col min="9224" max="9224" width="12.4609375" style="1" customWidth="1"/>
    <col min="9225" max="9225" width="8.765625" style="1" customWidth="1"/>
    <col min="9226" max="9226" width="20.765625" style="1" customWidth="1"/>
    <col min="9227" max="9227" width="18" style="1" customWidth="1"/>
    <col min="9228" max="9228" width="13.07421875" style="1" customWidth="1"/>
    <col min="9229" max="9229" width="8.23046875" style="1" customWidth="1"/>
    <col min="9230" max="9230" width="1.765625" style="1" customWidth="1"/>
    <col min="9231" max="9231" width="11.07421875" style="1" customWidth="1"/>
    <col min="9232" max="9232" width="11" style="1" customWidth="1"/>
    <col min="9233" max="9233" width="12.07421875" style="1" customWidth="1"/>
    <col min="9234" max="9234" width="7.765625" style="1" customWidth="1"/>
    <col min="9235" max="9235" width="14.4609375" style="1" customWidth="1"/>
    <col min="9236" max="9478" width="9.765625" style="1"/>
    <col min="9479" max="9479" width="22.4609375" style="1" customWidth="1"/>
    <col min="9480" max="9480" width="12.4609375" style="1" customWidth="1"/>
    <col min="9481" max="9481" width="8.765625" style="1" customWidth="1"/>
    <col min="9482" max="9482" width="20.765625" style="1" customWidth="1"/>
    <col min="9483" max="9483" width="18" style="1" customWidth="1"/>
    <col min="9484" max="9484" width="13.07421875" style="1" customWidth="1"/>
    <col min="9485" max="9485" width="8.23046875" style="1" customWidth="1"/>
    <col min="9486" max="9486" width="1.765625" style="1" customWidth="1"/>
    <col min="9487" max="9487" width="11.07421875" style="1" customWidth="1"/>
    <col min="9488" max="9488" width="11" style="1" customWidth="1"/>
    <col min="9489" max="9489" width="12.07421875" style="1" customWidth="1"/>
    <col min="9490" max="9490" width="7.765625" style="1" customWidth="1"/>
    <col min="9491" max="9491" width="14.4609375" style="1" customWidth="1"/>
    <col min="9492" max="9734" width="9.765625" style="1"/>
    <col min="9735" max="9735" width="22.4609375" style="1" customWidth="1"/>
    <col min="9736" max="9736" width="12.4609375" style="1" customWidth="1"/>
    <col min="9737" max="9737" width="8.765625" style="1" customWidth="1"/>
    <col min="9738" max="9738" width="20.765625" style="1" customWidth="1"/>
    <col min="9739" max="9739" width="18" style="1" customWidth="1"/>
    <col min="9740" max="9740" width="13.07421875" style="1" customWidth="1"/>
    <col min="9741" max="9741" width="8.23046875" style="1" customWidth="1"/>
    <col min="9742" max="9742" width="1.765625" style="1" customWidth="1"/>
    <col min="9743" max="9743" width="11.07421875" style="1" customWidth="1"/>
    <col min="9744" max="9744" width="11" style="1" customWidth="1"/>
    <col min="9745" max="9745" width="12.07421875" style="1" customWidth="1"/>
    <col min="9746" max="9746" width="7.765625" style="1" customWidth="1"/>
    <col min="9747" max="9747" width="14.4609375" style="1" customWidth="1"/>
    <col min="9748" max="9990" width="9.765625" style="1"/>
    <col min="9991" max="9991" width="22.4609375" style="1" customWidth="1"/>
    <col min="9992" max="9992" width="12.4609375" style="1" customWidth="1"/>
    <col min="9993" max="9993" width="8.765625" style="1" customWidth="1"/>
    <col min="9994" max="9994" width="20.765625" style="1" customWidth="1"/>
    <col min="9995" max="9995" width="18" style="1" customWidth="1"/>
    <col min="9996" max="9996" width="13.07421875" style="1" customWidth="1"/>
    <col min="9997" max="9997" width="8.23046875" style="1" customWidth="1"/>
    <col min="9998" max="9998" width="1.765625" style="1" customWidth="1"/>
    <col min="9999" max="9999" width="11.07421875" style="1" customWidth="1"/>
    <col min="10000" max="10000" width="11" style="1" customWidth="1"/>
    <col min="10001" max="10001" width="12.07421875" style="1" customWidth="1"/>
    <col min="10002" max="10002" width="7.765625" style="1" customWidth="1"/>
    <col min="10003" max="10003" width="14.4609375" style="1" customWidth="1"/>
    <col min="10004" max="10246" width="9.765625" style="1"/>
    <col min="10247" max="10247" width="22.4609375" style="1" customWidth="1"/>
    <col min="10248" max="10248" width="12.4609375" style="1" customWidth="1"/>
    <col min="10249" max="10249" width="8.765625" style="1" customWidth="1"/>
    <col min="10250" max="10250" width="20.765625" style="1" customWidth="1"/>
    <col min="10251" max="10251" width="18" style="1" customWidth="1"/>
    <col min="10252" max="10252" width="13.07421875" style="1" customWidth="1"/>
    <col min="10253" max="10253" width="8.23046875" style="1" customWidth="1"/>
    <col min="10254" max="10254" width="1.765625" style="1" customWidth="1"/>
    <col min="10255" max="10255" width="11.07421875" style="1" customWidth="1"/>
    <col min="10256" max="10256" width="11" style="1" customWidth="1"/>
    <col min="10257" max="10257" width="12.07421875" style="1" customWidth="1"/>
    <col min="10258" max="10258" width="7.765625" style="1" customWidth="1"/>
    <col min="10259" max="10259" width="14.4609375" style="1" customWidth="1"/>
    <col min="10260" max="10502" width="9.765625" style="1"/>
    <col min="10503" max="10503" width="22.4609375" style="1" customWidth="1"/>
    <col min="10504" max="10504" width="12.4609375" style="1" customWidth="1"/>
    <col min="10505" max="10505" width="8.765625" style="1" customWidth="1"/>
    <col min="10506" max="10506" width="20.765625" style="1" customWidth="1"/>
    <col min="10507" max="10507" width="18" style="1" customWidth="1"/>
    <col min="10508" max="10508" width="13.07421875" style="1" customWidth="1"/>
    <col min="10509" max="10509" width="8.23046875" style="1" customWidth="1"/>
    <col min="10510" max="10510" width="1.765625" style="1" customWidth="1"/>
    <col min="10511" max="10511" width="11.07421875" style="1" customWidth="1"/>
    <col min="10512" max="10512" width="11" style="1" customWidth="1"/>
    <col min="10513" max="10513" width="12.07421875" style="1" customWidth="1"/>
    <col min="10514" max="10514" width="7.765625" style="1" customWidth="1"/>
    <col min="10515" max="10515" width="14.4609375" style="1" customWidth="1"/>
    <col min="10516" max="10758" width="9.765625" style="1"/>
    <col min="10759" max="10759" width="22.4609375" style="1" customWidth="1"/>
    <col min="10760" max="10760" width="12.4609375" style="1" customWidth="1"/>
    <col min="10761" max="10761" width="8.765625" style="1" customWidth="1"/>
    <col min="10762" max="10762" width="20.765625" style="1" customWidth="1"/>
    <col min="10763" max="10763" width="18" style="1" customWidth="1"/>
    <col min="10764" max="10764" width="13.07421875" style="1" customWidth="1"/>
    <col min="10765" max="10765" width="8.23046875" style="1" customWidth="1"/>
    <col min="10766" max="10766" width="1.765625" style="1" customWidth="1"/>
    <col min="10767" max="10767" width="11.07421875" style="1" customWidth="1"/>
    <col min="10768" max="10768" width="11" style="1" customWidth="1"/>
    <col min="10769" max="10769" width="12.07421875" style="1" customWidth="1"/>
    <col min="10770" max="10770" width="7.765625" style="1" customWidth="1"/>
    <col min="10771" max="10771" width="14.4609375" style="1" customWidth="1"/>
    <col min="10772" max="11014" width="9.765625" style="1"/>
    <col min="11015" max="11015" width="22.4609375" style="1" customWidth="1"/>
    <col min="11016" max="11016" width="12.4609375" style="1" customWidth="1"/>
    <col min="11017" max="11017" width="8.765625" style="1" customWidth="1"/>
    <col min="11018" max="11018" width="20.765625" style="1" customWidth="1"/>
    <col min="11019" max="11019" width="18" style="1" customWidth="1"/>
    <col min="11020" max="11020" width="13.07421875" style="1" customWidth="1"/>
    <col min="11021" max="11021" width="8.23046875" style="1" customWidth="1"/>
    <col min="11022" max="11022" width="1.765625" style="1" customWidth="1"/>
    <col min="11023" max="11023" width="11.07421875" style="1" customWidth="1"/>
    <col min="11024" max="11024" width="11" style="1" customWidth="1"/>
    <col min="11025" max="11025" width="12.07421875" style="1" customWidth="1"/>
    <col min="11026" max="11026" width="7.765625" style="1" customWidth="1"/>
    <col min="11027" max="11027" width="14.4609375" style="1" customWidth="1"/>
    <col min="11028" max="11270" width="9.765625" style="1"/>
    <col min="11271" max="11271" width="22.4609375" style="1" customWidth="1"/>
    <col min="11272" max="11272" width="12.4609375" style="1" customWidth="1"/>
    <col min="11273" max="11273" width="8.765625" style="1" customWidth="1"/>
    <col min="11274" max="11274" width="20.765625" style="1" customWidth="1"/>
    <col min="11275" max="11275" width="18" style="1" customWidth="1"/>
    <col min="11276" max="11276" width="13.07421875" style="1" customWidth="1"/>
    <col min="11277" max="11277" width="8.23046875" style="1" customWidth="1"/>
    <col min="11278" max="11278" width="1.765625" style="1" customWidth="1"/>
    <col min="11279" max="11279" width="11.07421875" style="1" customWidth="1"/>
    <col min="11280" max="11280" width="11" style="1" customWidth="1"/>
    <col min="11281" max="11281" width="12.07421875" style="1" customWidth="1"/>
    <col min="11282" max="11282" width="7.765625" style="1" customWidth="1"/>
    <col min="11283" max="11283" width="14.4609375" style="1" customWidth="1"/>
    <col min="11284" max="11526" width="9.765625" style="1"/>
    <col min="11527" max="11527" width="22.4609375" style="1" customWidth="1"/>
    <col min="11528" max="11528" width="12.4609375" style="1" customWidth="1"/>
    <col min="11529" max="11529" width="8.765625" style="1" customWidth="1"/>
    <col min="11530" max="11530" width="20.765625" style="1" customWidth="1"/>
    <col min="11531" max="11531" width="18" style="1" customWidth="1"/>
    <col min="11532" max="11532" width="13.07421875" style="1" customWidth="1"/>
    <col min="11533" max="11533" width="8.23046875" style="1" customWidth="1"/>
    <col min="11534" max="11534" width="1.765625" style="1" customWidth="1"/>
    <col min="11535" max="11535" width="11.07421875" style="1" customWidth="1"/>
    <col min="11536" max="11536" width="11" style="1" customWidth="1"/>
    <col min="11537" max="11537" width="12.07421875" style="1" customWidth="1"/>
    <col min="11538" max="11538" width="7.765625" style="1" customWidth="1"/>
    <col min="11539" max="11539" width="14.4609375" style="1" customWidth="1"/>
    <col min="11540" max="11782" width="9.765625" style="1"/>
    <col min="11783" max="11783" width="22.4609375" style="1" customWidth="1"/>
    <col min="11784" max="11784" width="12.4609375" style="1" customWidth="1"/>
    <col min="11785" max="11785" width="8.765625" style="1" customWidth="1"/>
    <col min="11786" max="11786" width="20.765625" style="1" customWidth="1"/>
    <col min="11787" max="11787" width="18" style="1" customWidth="1"/>
    <col min="11788" max="11788" width="13.07421875" style="1" customWidth="1"/>
    <col min="11789" max="11789" width="8.23046875" style="1" customWidth="1"/>
    <col min="11790" max="11790" width="1.765625" style="1" customWidth="1"/>
    <col min="11791" max="11791" width="11.07421875" style="1" customWidth="1"/>
    <col min="11792" max="11792" width="11" style="1" customWidth="1"/>
    <col min="11793" max="11793" width="12.07421875" style="1" customWidth="1"/>
    <col min="11794" max="11794" width="7.765625" style="1" customWidth="1"/>
    <col min="11795" max="11795" width="14.4609375" style="1" customWidth="1"/>
    <col min="11796" max="12038" width="9.765625" style="1"/>
    <col min="12039" max="12039" width="22.4609375" style="1" customWidth="1"/>
    <col min="12040" max="12040" width="12.4609375" style="1" customWidth="1"/>
    <col min="12041" max="12041" width="8.765625" style="1" customWidth="1"/>
    <col min="12042" max="12042" width="20.765625" style="1" customWidth="1"/>
    <col min="12043" max="12043" width="18" style="1" customWidth="1"/>
    <col min="12044" max="12044" width="13.07421875" style="1" customWidth="1"/>
    <col min="12045" max="12045" width="8.23046875" style="1" customWidth="1"/>
    <col min="12046" max="12046" width="1.765625" style="1" customWidth="1"/>
    <col min="12047" max="12047" width="11.07421875" style="1" customWidth="1"/>
    <col min="12048" max="12048" width="11" style="1" customWidth="1"/>
    <col min="12049" max="12049" width="12.07421875" style="1" customWidth="1"/>
    <col min="12050" max="12050" width="7.765625" style="1" customWidth="1"/>
    <col min="12051" max="12051" width="14.4609375" style="1" customWidth="1"/>
    <col min="12052" max="12294" width="9.765625" style="1"/>
    <col min="12295" max="12295" width="22.4609375" style="1" customWidth="1"/>
    <col min="12296" max="12296" width="12.4609375" style="1" customWidth="1"/>
    <col min="12297" max="12297" width="8.765625" style="1" customWidth="1"/>
    <col min="12298" max="12298" width="20.765625" style="1" customWidth="1"/>
    <col min="12299" max="12299" width="18" style="1" customWidth="1"/>
    <col min="12300" max="12300" width="13.07421875" style="1" customWidth="1"/>
    <col min="12301" max="12301" width="8.23046875" style="1" customWidth="1"/>
    <col min="12302" max="12302" width="1.765625" style="1" customWidth="1"/>
    <col min="12303" max="12303" width="11.07421875" style="1" customWidth="1"/>
    <col min="12304" max="12304" width="11" style="1" customWidth="1"/>
    <col min="12305" max="12305" width="12.07421875" style="1" customWidth="1"/>
    <col min="12306" max="12306" width="7.765625" style="1" customWidth="1"/>
    <col min="12307" max="12307" width="14.4609375" style="1" customWidth="1"/>
    <col min="12308" max="12550" width="9.765625" style="1"/>
    <col min="12551" max="12551" width="22.4609375" style="1" customWidth="1"/>
    <col min="12552" max="12552" width="12.4609375" style="1" customWidth="1"/>
    <col min="12553" max="12553" width="8.765625" style="1" customWidth="1"/>
    <col min="12554" max="12554" width="20.765625" style="1" customWidth="1"/>
    <col min="12555" max="12555" width="18" style="1" customWidth="1"/>
    <col min="12556" max="12556" width="13.07421875" style="1" customWidth="1"/>
    <col min="12557" max="12557" width="8.23046875" style="1" customWidth="1"/>
    <col min="12558" max="12558" width="1.765625" style="1" customWidth="1"/>
    <col min="12559" max="12559" width="11.07421875" style="1" customWidth="1"/>
    <col min="12560" max="12560" width="11" style="1" customWidth="1"/>
    <col min="12561" max="12561" width="12.07421875" style="1" customWidth="1"/>
    <col min="12562" max="12562" width="7.765625" style="1" customWidth="1"/>
    <col min="12563" max="12563" width="14.4609375" style="1" customWidth="1"/>
    <col min="12564" max="12806" width="9.765625" style="1"/>
    <col min="12807" max="12807" width="22.4609375" style="1" customWidth="1"/>
    <col min="12808" max="12808" width="12.4609375" style="1" customWidth="1"/>
    <col min="12809" max="12809" width="8.765625" style="1" customWidth="1"/>
    <col min="12810" max="12810" width="20.765625" style="1" customWidth="1"/>
    <col min="12811" max="12811" width="18" style="1" customWidth="1"/>
    <col min="12812" max="12812" width="13.07421875" style="1" customWidth="1"/>
    <col min="12813" max="12813" width="8.23046875" style="1" customWidth="1"/>
    <col min="12814" max="12814" width="1.765625" style="1" customWidth="1"/>
    <col min="12815" max="12815" width="11.07421875" style="1" customWidth="1"/>
    <col min="12816" max="12816" width="11" style="1" customWidth="1"/>
    <col min="12817" max="12817" width="12.07421875" style="1" customWidth="1"/>
    <col min="12818" max="12818" width="7.765625" style="1" customWidth="1"/>
    <col min="12819" max="12819" width="14.4609375" style="1" customWidth="1"/>
    <col min="12820" max="13062" width="9.765625" style="1"/>
    <col min="13063" max="13063" width="22.4609375" style="1" customWidth="1"/>
    <col min="13064" max="13064" width="12.4609375" style="1" customWidth="1"/>
    <col min="13065" max="13065" width="8.765625" style="1" customWidth="1"/>
    <col min="13066" max="13066" width="20.765625" style="1" customWidth="1"/>
    <col min="13067" max="13067" width="18" style="1" customWidth="1"/>
    <col min="13068" max="13068" width="13.07421875" style="1" customWidth="1"/>
    <col min="13069" max="13069" width="8.23046875" style="1" customWidth="1"/>
    <col min="13070" max="13070" width="1.765625" style="1" customWidth="1"/>
    <col min="13071" max="13071" width="11.07421875" style="1" customWidth="1"/>
    <col min="13072" max="13072" width="11" style="1" customWidth="1"/>
    <col min="13073" max="13073" width="12.07421875" style="1" customWidth="1"/>
    <col min="13074" max="13074" width="7.765625" style="1" customWidth="1"/>
    <col min="13075" max="13075" width="14.4609375" style="1" customWidth="1"/>
    <col min="13076" max="13318" width="9.765625" style="1"/>
    <col min="13319" max="13319" width="22.4609375" style="1" customWidth="1"/>
    <col min="13320" max="13320" width="12.4609375" style="1" customWidth="1"/>
    <col min="13321" max="13321" width="8.765625" style="1" customWidth="1"/>
    <col min="13322" max="13322" width="20.765625" style="1" customWidth="1"/>
    <col min="13323" max="13323" width="18" style="1" customWidth="1"/>
    <col min="13324" max="13324" width="13.07421875" style="1" customWidth="1"/>
    <col min="13325" max="13325" width="8.23046875" style="1" customWidth="1"/>
    <col min="13326" max="13326" width="1.765625" style="1" customWidth="1"/>
    <col min="13327" max="13327" width="11.07421875" style="1" customWidth="1"/>
    <col min="13328" max="13328" width="11" style="1" customWidth="1"/>
    <col min="13329" max="13329" width="12.07421875" style="1" customWidth="1"/>
    <col min="13330" max="13330" width="7.765625" style="1" customWidth="1"/>
    <col min="13331" max="13331" width="14.4609375" style="1" customWidth="1"/>
    <col min="13332" max="13574" width="9.765625" style="1"/>
    <col min="13575" max="13575" width="22.4609375" style="1" customWidth="1"/>
    <col min="13576" max="13576" width="12.4609375" style="1" customWidth="1"/>
    <col min="13577" max="13577" width="8.765625" style="1" customWidth="1"/>
    <col min="13578" max="13578" width="20.765625" style="1" customWidth="1"/>
    <col min="13579" max="13579" width="18" style="1" customWidth="1"/>
    <col min="13580" max="13580" width="13.07421875" style="1" customWidth="1"/>
    <col min="13581" max="13581" width="8.23046875" style="1" customWidth="1"/>
    <col min="13582" max="13582" width="1.765625" style="1" customWidth="1"/>
    <col min="13583" max="13583" width="11.07421875" style="1" customWidth="1"/>
    <col min="13584" max="13584" width="11" style="1" customWidth="1"/>
    <col min="13585" max="13585" width="12.07421875" style="1" customWidth="1"/>
    <col min="13586" max="13586" width="7.765625" style="1" customWidth="1"/>
    <col min="13587" max="13587" width="14.4609375" style="1" customWidth="1"/>
    <col min="13588" max="13830" width="9.765625" style="1"/>
    <col min="13831" max="13831" width="22.4609375" style="1" customWidth="1"/>
    <col min="13832" max="13832" width="12.4609375" style="1" customWidth="1"/>
    <col min="13833" max="13833" width="8.765625" style="1" customWidth="1"/>
    <col min="13834" max="13834" width="20.765625" style="1" customWidth="1"/>
    <col min="13835" max="13835" width="18" style="1" customWidth="1"/>
    <col min="13836" max="13836" width="13.07421875" style="1" customWidth="1"/>
    <col min="13837" max="13837" width="8.23046875" style="1" customWidth="1"/>
    <col min="13838" max="13838" width="1.765625" style="1" customWidth="1"/>
    <col min="13839" max="13839" width="11.07421875" style="1" customWidth="1"/>
    <col min="13840" max="13840" width="11" style="1" customWidth="1"/>
    <col min="13841" max="13841" width="12.07421875" style="1" customWidth="1"/>
    <col min="13842" max="13842" width="7.765625" style="1" customWidth="1"/>
    <col min="13843" max="13843" width="14.4609375" style="1" customWidth="1"/>
    <col min="13844" max="14086" width="9.765625" style="1"/>
    <col min="14087" max="14087" width="22.4609375" style="1" customWidth="1"/>
    <col min="14088" max="14088" width="12.4609375" style="1" customWidth="1"/>
    <col min="14089" max="14089" width="8.765625" style="1" customWidth="1"/>
    <col min="14090" max="14090" width="20.765625" style="1" customWidth="1"/>
    <col min="14091" max="14091" width="18" style="1" customWidth="1"/>
    <col min="14092" max="14092" width="13.07421875" style="1" customWidth="1"/>
    <col min="14093" max="14093" width="8.23046875" style="1" customWidth="1"/>
    <col min="14094" max="14094" width="1.765625" style="1" customWidth="1"/>
    <col min="14095" max="14095" width="11.07421875" style="1" customWidth="1"/>
    <col min="14096" max="14096" width="11" style="1" customWidth="1"/>
    <col min="14097" max="14097" width="12.07421875" style="1" customWidth="1"/>
    <col min="14098" max="14098" width="7.765625" style="1" customWidth="1"/>
    <col min="14099" max="14099" width="14.4609375" style="1" customWidth="1"/>
    <col min="14100" max="14342" width="9.765625" style="1"/>
    <col min="14343" max="14343" width="22.4609375" style="1" customWidth="1"/>
    <col min="14344" max="14344" width="12.4609375" style="1" customWidth="1"/>
    <col min="14345" max="14345" width="8.765625" style="1" customWidth="1"/>
    <col min="14346" max="14346" width="20.765625" style="1" customWidth="1"/>
    <col min="14347" max="14347" width="18" style="1" customWidth="1"/>
    <col min="14348" max="14348" width="13.07421875" style="1" customWidth="1"/>
    <col min="14349" max="14349" width="8.23046875" style="1" customWidth="1"/>
    <col min="14350" max="14350" width="1.765625" style="1" customWidth="1"/>
    <col min="14351" max="14351" width="11.07421875" style="1" customWidth="1"/>
    <col min="14352" max="14352" width="11" style="1" customWidth="1"/>
    <col min="14353" max="14353" width="12.07421875" style="1" customWidth="1"/>
    <col min="14354" max="14354" width="7.765625" style="1" customWidth="1"/>
    <col min="14355" max="14355" width="14.4609375" style="1" customWidth="1"/>
    <col min="14356" max="14598" width="9.765625" style="1"/>
    <col min="14599" max="14599" width="22.4609375" style="1" customWidth="1"/>
    <col min="14600" max="14600" width="12.4609375" style="1" customWidth="1"/>
    <col min="14601" max="14601" width="8.765625" style="1" customWidth="1"/>
    <col min="14602" max="14602" width="20.765625" style="1" customWidth="1"/>
    <col min="14603" max="14603" width="18" style="1" customWidth="1"/>
    <col min="14604" max="14604" width="13.07421875" style="1" customWidth="1"/>
    <col min="14605" max="14605" width="8.23046875" style="1" customWidth="1"/>
    <col min="14606" max="14606" width="1.765625" style="1" customWidth="1"/>
    <col min="14607" max="14607" width="11.07421875" style="1" customWidth="1"/>
    <col min="14608" max="14608" width="11" style="1" customWidth="1"/>
    <col min="14609" max="14609" width="12.07421875" style="1" customWidth="1"/>
    <col min="14610" max="14610" width="7.765625" style="1" customWidth="1"/>
    <col min="14611" max="14611" width="14.4609375" style="1" customWidth="1"/>
    <col min="14612" max="14854" width="9.765625" style="1"/>
    <col min="14855" max="14855" width="22.4609375" style="1" customWidth="1"/>
    <col min="14856" max="14856" width="12.4609375" style="1" customWidth="1"/>
    <col min="14857" max="14857" width="8.765625" style="1" customWidth="1"/>
    <col min="14858" max="14858" width="20.765625" style="1" customWidth="1"/>
    <col min="14859" max="14859" width="18" style="1" customWidth="1"/>
    <col min="14860" max="14860" width="13.07421875" style="1" customWidth="1"/>
    <col min="14861" max="14861" width="8.23046875" style="1" customWidth="1"/>
    <col min="14862" max="14862" width="1.765625" style="1" customWidth="1"/>
    <col min="14863" max="14863" width="11.07421875" style="1" customWidth="1"/>
    <col min="14864" max="14864" width="11" style="1" customWidth="1"/>
    <col min="14865" max="14865" width="12.07421875" style="1" customWidth="1"/>
    <col min="14866" max="14866" width="7.765625" style="1" customWidth="1"/>
    <col min="14867" max="14867" width="14.4609375" style="1" customWidth="1"/>
    <col min="14868" max="15110" width="9.765625" style="1"/>
    <col min="15111" max="15111" width="22.4609375" style="1" customWidth="1"/>
    <col min="15112" max="15112" width="12.4609375" style="1" customWidth="1"/>
    <col min="15113" max="15113" width="8.765625" style="1" customWidth="1"/>
    <col min="15114" max="15114" width="20.765625" style="1" customWidth="1"/>
    <col min="15115" max="15115" width="18" style="1" customWidth="1"/>
    <col min="15116" max="15116" width="13.07421875" style="1" customWidth="1"/>
    <col min="15117" max="15117" width="8.23046875" style="1" customWidth="1"/>
    <col min="15118" max="15118" width="1.765625" style="1" customWidth="1"/>
    <col min="15119" max="15119" width="11.07421875" style="1" customWidth="1"/>
    <col min="15120" max="15120" width="11" style="1" customWidth="1"/>
    <col min="15121" max="15121" width="12.07421875" style="1" customWidth="1"/>
    <col min="15122" max="15122" width="7.765625" style="1" customWidth="1"/>
    <col min="15123" max="15123" width="14.4609375" style="1" customWidth="1"/>
    <col min="15124" max="15366" width="9.765625" style="1"/>
    <col min="15367" max="15367" width="22.4609375" style="1" customWidth="1"/>
    <col min="15368" max="15368" width="12.4609375" style="1" customWidth="1"/>
    <col min="15369" max="15369" width="8.765625" style="1" customWidth="1"/>
    <col min="15370" max="15370" width="20.765625" style="1" customWidth="1"/>
    <col min="15371" max="15371" width="18" style="1" customWidth="1"/>
    <col min="15372" max="15372" width="13.07421875" style="1" customWidth="1"/>
    <col min="15373" max="15373" width="8.23046875" style="1" customWidth="1"/>
    <col min="15374" max="15374" width="1.765625" style="1" customWidth="1"/>
    <col min="15375" max="15375" width="11.07421875" style="1" customWidth="1"/>
    <col min="15376" max="15376" width="11" style="1" customWidth="1"/>
    <col min="15377" max="15377" width="12.07421875" style="1" customWidth="1"/>
    <col min="15378" max="15378" width="7.765625" style="1" customWidth="1"/>
    <col min="15379" max="15379" width="14.4609375" style="1" customWidth="1"/>
    <col min="15380" max="15622" width="9.765625" style="1"/>
    <col min="15623" max="15623" width="22.4609375" style="1" customWidth="1"/>
    <col min="15624" max="15624" width="12.4609375" style="1" customWidth="1"/>
    <col min="15625" max="15625" width="8.765625" style="1" customWidth="1"/>
    <col min="15626" max="15626" width="20.765625" style="1" customWidth="1"/>
    <col min="15627" max="15627" width="18" style="1" customWidth="1"/>
    <col min="15628" max="15628" width="13.07421875" style="1" customWidth="1"/>
    <col min="15629" max="15629" width="8.23046875" style="1" customWidth="1"/>
    <col min="15630" max="15630" width="1.765625" style="1" customWidth="1"/>
    <col min="15631" max="15631" width="11.07421875" style="1" customWidth="1"/>
    <col min="15632" max="15632" width="11" style="1" customWidth="1"/>
    <col min="15633" max="15633" width="12.07421875" style="1" customWidth="1"/>
    <col min="15634" max="15634" width="7.765625" style="1" customWidth="1"/>
    <col min="15635" max="15635" width="14.4609375" style="1" customWidth="1"/>
    <col min="15636" max="15878" width="9.765625" style="1"/>
    <col min="15879" max="15879" width="22.4609375" style="1" customWidth="1"/>
    <col min="15880" max="15880" width="12.4609375" style="1" customWidth="1"/>
    <col min="15881" max="15881" width="8.765625" style="1" customWidth="1"/>
    <col min="15882" max="15882" width="20.765625" style="1" customWidth="1"/>
    <col min="15883" max="15883" width="18" style="1" customWidth="1"/>
    <col min="15884" max="15884" width="13.07421875" style="1" customWidth="1"/>
    <col min="15885" max="15885" width="8.23046875" style="1" customWidth="1"/>
    <col min="15886" max="15886" width="1.765625" style="1" customWidth="1"/>
    <col min="15887" max="15887" width="11.07421875" style="1" customWidth="1"/>
    <col min="15888" max="15888" width="11" style="1" customWidth="1"/>
    <col min="15889" max="15889" width="12.07421875" style="1" customWidth="1"/>
    <col min="15890" max="15890" width="7.765625" style="1" customWidth="1"/>
    <col min="15891" max="15891" width="14.4609375" style="1" customWidth="1"/>
    <col min="15892" max="16134" width="9.765625" style="1"/>
    <col min="16135" max="16135" width="22.4609375" style="1" customWidth="1"/>
    <col min="16136" max="16136" width="12.4609375" style="1" customWidth="1"/>
    <col min="16137" max="16137" width="8.765625" style="1" customWidth="1"/>
    <col min="16138" max="16138" width="20.765625" style="1" customWidth="1"/>
    <col min="16139" max="16139" width="18" style="1" customWidth="1"/>
    <col min="16140" max="16140" width="13.07421875" style="1" customWidth="1"/>
    <col min="16141" max="16141" width="8.23046875" style="1" customWidth="1"/>
    <col min="16142" max="16142" width="1.765625" style="1" customWidth="1"/>
    <col min="16143" max="16143" width="11.07421875" style="1" customWidth="1"/>
    <col min="16144" max="16144" width="11" style="1" customWidth="1"/>
    <col min="16145" max="16145" width="12.07421875" style="1" customWidth="1"/>
    <col min="16146" max="16146" width="7.765625" style="1" customWidth="1"/>
    <col min="16147" max="16147" width="14.4609375" style="1" customWidth="1"/>
    <col min="16148" max="16384" width="9.765625" style="1"/>
  </cols>
  <sheetData>
    <row r="1" spans="2:24" ht="18.5">
      <c r="B1" s="174" t="s">
        <v>507</v>
      </c>
      <c r="C1" s="3"/>
      <c r="D1" s="3"/>
      <c r="E1" s="3"/>
      <c r="F1" s="3"/>
      <c r="G1" s="3"/>
      <c r="H1" s="3"/>
      <c r="T1" s="6"/>
    </row>
    <row r="2" spans="2:24">
      <c r="B2" s="21"/>
      <c r="C2" s="6"/>
      <c r="D2" s="6"/>
      <c r="E2" s="6"/>
      <c r="F2" s="6"/>
      <c r="G2" s="6"/>
      <c r="H2" s="6"/>
      <c r="J2" s="2"/>
      <c r="K2" s="2"/>
      <c r="L2" s="4"/>
      <c r="T2" s="6"/>
    </row>
    <row r="3" spans="2:24" ht="15" thickBot="1">
      <c r="B3" s="59" t="s">
        <v>0</v>
      </c>
      <c r="C3" s="6"/>
      <c r="D3" s="6"/>
      <c r="E3" s="6"/>
      <c r="F3" s="6"/>
      <c r="G3" s="6"/>
      <c r="H3" s="6"/>
      <c r="J3" s="2"/>
      <c r="K3" s="2"/>
      <c r="L3" s="39"/>
      <c r="T3" s="6"/>
    </row>
    <row r="4" spans="2:24" ht="16" thickBot="1">
      <c r="B4" s="224" t="s">
        <v>61</v>
      </c>
      <c r="C4" s="406"/>
      <c r="D4" s="6"/>
      <c r="E4" s="6"/>
      <c r="F4" s="6"/>
      <c r="G4" s="65" t="s">
        <v>55</v>
      </c>
      <c r="H4" s="99"/>
      <c r="J4" s="291" t="s">
        <v>300</v>
      </c>
      <c r="K4" s="25"/>
      <c r="L4" s="292"/>
      <c r="M4" s="25"/>
      <c r="N4" s="25"/>
      <c r="O4" s="25"/>
      <c r="P4" s="115"/>
    </row>
    <row r="5" spans="2:24" ht="15" thickBot="1">
      <c r="B5" s="33" t="s">
        <v>64</v>
      </c>
      <c r="C5" s="404"/>
      <c r="D5" s="6"/>
      <c r="E5" s="6"/>
      <c r="F5" s="6"/>
      <c r="G5" s="40" t="s">
        <v>28</v>
      </c>
      <c r="H5" s="66">
        <f>C9*C8</f>
        <v>0</v>
      </c>
      <c r="J5" s="299"/>
      <c r="K5" s="300"/>
      <c r="L5" s="300"/>
      <c r="M5" s="300"/>
      <c r="N5" s="300"/>
      <c r="O5" s="300"/>
      <c r="P5" s="301"/>
    </row>
    <row r="6" spans="2:24" ht="15" thickBot="1">
      <c r="B6" s="32" t="s">
        <v>5</v>
      </c>
      <c r="C6" s="400"/>
      <c r="D6" s="6"/>
      <c r="E6" s="6"/>
      <c r="F6" s="6"/>
      <c r="G6" s="43" t="s">
        <v>30</v>
      </c>
      <c r="H6" s="289">
        <f>IF(C14&gt;=7%,C17*C11*C12*C14,C17*C11*C12)</f>
        <v>0</v>
      </c>
      <c r="J6" s="293"/>
      <c r="K6" s="294"/>
      <c r="L6" s="294"/>
      <c r="M6" s="294"/>
      <c r="N6" s="294"/>
      <c r="O6" s="294"/>
      <c r="P6" s="295"/>
    </row>
    <row r="7" spans="2:24" ht="15" thickBot="1">
      <c r="B7" s="220" t="s">
        <v>9</v>
      </c>
      <c r="C7" s="400"/>
      <c r="D7" s="6"/>
      <c r="E7" s="6"/>
      <c r="F7" s="6"/>
      <c r="G7" s="43" t="s">
        <v>29</v>
      </c>
      <c r="H7" s="66">
        <f>IF(C7="CUSMA",0,IF(C7="Domestic",0,C11*C12*Rates!B33*C14))</f>
        <v>0</v>
      </c>
      <c r="J7" s="293"/>
      <c r="K7" s="294"/>
      <c r="L7" s="294"/>
      <c r="M7" s="294"/>
      <c r="N7" s="294"/>
      <c r="O7" s="294"/>
      <c r="P7" s="295"/>
    </row>
    <row r="8" spans="2:24" ht="15" thickBot="1">
      <c r="B8" s="32" t="s">
        <v>467</v>
      </c>
      <c r="C8" s="407"/>
      <c r="D8" s="6"/>
      <c r="E8" s="6"/>
      <c r="F8" s="6"/>
      <c r="G8" s="43" t="s">
        <v>71</v>
      </c>
      <c r="H8" s="66">
        <f>C10</f>
        <v>0</v>
      </c>
      <c r="J8" s="293"/>
      <c r="K8" s="294"/>
      <c r="L8" s="294"/>
      <c r="M8" s="294"/>
      <c r="N8" s="294"/>
      <c r="O8" s="294"/>
      <c r="P8" s="295"/>
    </row>
    <row r="9" spans="2:24" ht="15" thickBot="1">
      <c r="B9" s="220" t="s">
        <v>14</v>
      </c>
      <c r="C9" s="408"/>
      <c r="D9" s="6"/>
      <c r="E9" s="6"/>
      <c r="F9" s="6"/>
      <c r="G9" s="54" t="s">
        <v>31</v>
      </c>
      <c r="H9" s="66">
        <f>SUM(H5:H8)</f>
        <v>0</v>
      </c>
      <c r="J9" s="293"/>
      <c r="K9" s="294"/>
      <c r="L9" s="294"/>
      <c r="M9" s="294"/>
      <c r="N9" s="294"/>
      <c r="O9" s="294"/>
      <c r="P9" s="295"/>
      <c r="T9" s="6"/>
      <c r="W9" s="6"/>
      <c r="X9" s="6"/>
    </row>
    <row r="10" spans="2:24" ht="15" thickBot="1">
      <c r="B10" s="222" t="s">
        <v>16</v>
      </c>
      <c r="C10" s="407"/>
      <c r="D10" s="6"/>
      <c r="E10" s="6"/>
      <c r="F10" s="6"/>
      <c r="G10" s="43" t="s">
        <v>72</v>
      </c>
      <c r="H10" s="155">
        <f>ROUND(+C19*C11*C12,4)</f>
        <v>0</v>
      </c>
      <c r="J10" s="293"/>
      <c r="K10" s="294"/>
      <c r="L10" s="294"/>
      <c r="M10" s="294"/>
      <c r="N10" s="294"/>
      <c r="O10" s="294"/>
      <c r="P10" s="295"/>
      <c r="W10" s="6"/>
    </row>
    <row r="11" spans="2:24" ht="15" thickBot="1">
      <c r="B11" s="221" t="s">
        <v>18</v>
      </c>
      <c r="C11" s="409"/>
      <c r="D11" s="6"/>
      <c r="E11" s="6"/>
      <c r="F11" s="6"/>
      <c r="G11" s="43" t="s">
        <v>73</v>
      </c>
      <c r="H11" s="66">
        <f>ROUND(+C20*C11*C12,4)</f>
        <v>0</v>
      </c>
      <c r="J11" s="293"/>
      <c r="K11" s="294"/>
      <c r="L11" s="294"/>
      <c r="M11" s="294"/>
      <c r="N11" s="294"/>
      <c r="O11" s="294"/>
      <c r="P11" s="295"/>
      <c r="T11" s="6"/>
      <c r="U11" s="6"/>
      <c r="W11" s="6"/>
    </row>
    <row r="12" spans="2:24" ht="15" thickBot="1">
      <c r="B12" s="220" t="s">
        <v>20</v>
      </c>
      <c r="C12" s="410"/>
      <c r="D12" s="6"/>
      <c r="E12" s="6"/>
      <c r="F12" s="6"/>
      <c r="G12" s="43" t="s">
        <v>57</v>
      </c>
      <c r="H12" s="66" t="e">
        <f>ROUND((C11*C12)*C21,4)</f>
        <v>#N/A</v>
      </c>
      <c r="I12" s="27"/>
      <c r="J12" s="293"/>
      <c r="K12" s="294"/>
      <c r="L12" s="294"/>
      <c r="M12" s="294"/>
      <c r="N12" s="294"/>
      <c r="O12" s="294"/>
      <c r="P12" s="295"/>
      <c r="T12" s="8"/>
    </row>
    <row r="13" spans="2:24" ht="15" thickBot="1">
      <c r="B13" s="220" t="s">
        <v>22</v>
      </c>
      <c r="C13" s="410"/>
      <c r="D13" s="6"/>
      <c r="E13" s="6"/>
      <c r="F13" s="6"/>
      <c r="G13" s="43" t="s">
        <v>34</v>
      </c>
      <c r="H13" s="156" t="e">
        <f>H9+H10+H11+H12</f>
        <v>#N/A</v>
      </c>
      <c r="I13" s="27"/>
      <c r="J13" s="293"/>
      <c r="K13" s="294"/>
      <c r="L13" s="294"/>
      <c r="M13" s="294"/>
      <c r="N13" s="294"/>
      <c r="O13" s="294"/>
      <c r="P13" s="295"/>
      <c r="T13" s="8"/>
    </row>
    <row r="14" spans="2:24" ht="15" thickBot="1">
      <c r="B14" s="223" t="s">
        <v>24</v>
      </c>
      <c r="C14" s="411"/>
      <c r="D14" s="524" t="s">
        <v>306</v>
      </c>
      <c r="E14" s="525"/>
      <c r="F14" s="6"/>
      <c r="G14" s="43"/>
      <c r="H14" s="66"/>
      <c r="J14" s="293"/>
      <c r="K14" s="294"/>
      <c r="L14" s="294"/>
      <c r="M14" s="294"/>
      <c r="N14" s="294"/>
      <c r="O14" s="294"/>
      <c r="P14" s="295"/>
      <c r="R14" s="8"/>
      <c r="T14" s="8"/>
    </row>
    <row r="15" spans="2:24" ht="15.75" customHeight="1" thickBot="1">
      <c r="B15" s="350" t="s">
        <v>26</v>
      </c>
      <c r="C15" s="379" t="e">
        <f>H25</f>
        <v>#N/A</v>
      </c>
      <c r="D15" s="440" t="e">
        <f>H20+H24</f>
        <v>#N/A</v>
      </c>
      <c r="E15" s="321" t="e">
        <f>C15-D15</f>
        <v>#N/A</v>
      </c>
      <c r="F15" s="6"/>
      <c r="G15" s="27" t="s">
        <v>35</v>
      </c>
      <c r="H15" s="68" t="e">
        <f>H13/C12</f>
        <v>#N/A</v>
      </c>
      <c r="J15" s="293"/>
      <c r="K15" s="294"/>
      <c r="L15" s="294"/>
      <c r="M15" s="294"/>
      <c r="N15" s="294"/>
      <c r="O15" s="294"/>
      <c r="P15" s="295"/>
    </row>
    <row r="16" spans="2:24" ht="15" thickBot="1">
      <c r="D16" s="6"/>
      <c r="E16" s="6"/>
      <c r="F16" s="6"/>
      <c r="G16" s="43" t="s">
        <v>68</v>
      </c>
      <c r="H16" s="68">
        <f>ROUND(+C22*C11,4)</f>
        <v>0</v>
      </c>
      <c r="J16" s="293"/>
      <c r="K16" s="294"/>
      <c r="L16" s="294"/>
      <c r="M16" s="294"/>
      <c r="N16" s="294"/>
      <c r="O16" s="294"/>
      <c r="P16" s="295"/>
    </row>
    <row r="17" spans="2:20" ht="15.75" customHeight="1">
      <c r="B17" s="52" t="s">
        <v>3</v>
      </c>
      <c r="C17" s="382">
        <f>IF(C14&lt;=7%,Rates!B27,Rates!B28)</f>
        <v>0.35099999999999998</v>
      </c>
      <c r="D17" s="325"/>
      <c r="E17" s="325"/>
      <c r="F17" s="325"/>
      <c r="G17" s="43" t="s">
        <v>19</v>
      </c>
      <c r="H17" s="68">
        <f>ROUND(+C23*C13,4)</f>
        <v>0</v>
      </c>
      <c r="J17" s="293"/>
      <c r="K17" s="294"/>
      <c r="L17" s="294"/>
      <c r="M17" s="294"/>
      <c r="N17" s="294"/>
      <c r="O17" s="294"/>
      <c r="P17" s="295"/>
    </row>
    <row r="18" spans="2:20" ht="15" thickBot="1">
      <c r="B18" s="53" t="s">
        <v>7</v>
      </c>
      <c r="C18" s="360" t="e">
        <f>VLOOKUP("Flavoured Beer"&amp;C6&amp;C7,Rates!I:J,2,FALSE)</f>
        <v>#N/A</v>
      </c>
      <c r="D18" s="343"/>
      <c r="E18" s="343"/>
      <c r="F18" s="343"/>
      <c r="G18" s="43" t="s">
        <v>38</v>
      </c>
      <c r="H18" s="277" t="e">
        <f>ROUND(SUM(H15:H17),4)</f>
        <v>#N/A</v>
      </c>
      <c r="J18" s="296"/>
      <c r="K18" s="297"/>
      <c r="L18" s="297"/>
      <c r="M18" s="297"/>
      <c r="N18" s="297"/>
      <c r="O18" s="297"/>
      <c r="P18" s="298"/>
      <c r="S18" s="6"/>
    </row>
    <row r="19" spans="2:20">
      <c r="B19" s="43" t="s">
        <v>63</v>
      </c>
      <c r="C19" s="360">
        <f>Rates!C3</f>
        <v>0.74109999999999998</v>
      </c>
      <c r="D19" s="344"/>
      <c r="E19" s="344"/>
      <c r="F19" s="344"/>
      <c r="G19" s="43" t="s">
        <v>21</v>
      </c>
      <c r="H19" s="68" t="e">
        <f>ROUND(+H18*C24,4)</f>
        <v>#N/A</v>
      </c>
      <c r="S19" s="6"/>
    </row>
    <row r="20" spans="2:20">
      <c r="B20" s="43" t="s">
        <v>66</v>
      </c>
      <c r="C20" s="360">
        <f>Rates!C4</f>
        <v>0.2006</v>
      </c>
      <c r="D20" s="343"/>
      <c r="E20" s="343"/>
      <c r="F20" s="343"/>
      <c r="G20" s="43" t="s">
        <v>39</v>
      </c>
      <c r="H20" s="277" t="e">
        <f>ROUND(SUM(H18:H19),4)</f>
        <v>#N/A</v>
      </c>
      <c r="S20" s="6"/>
    </row>
    <row r="21" spans="2:20">
      <c r="B21" s="146" t="s">
        <v>67</v>
      </c>
      <c r="C21" s="371" t="e">
        <f>VLOOKUP(C4,Rates!A11:B12,2,FALSE)</f>
        <v>#N/A</v>
      </c>
      <c r="D21" s="343"/>
      <c r="E21" s="343"/>
      <c r="F21" s="343"/>
      <c r="G21" s="337" t="s">
        <v>305</v>
      </c>
      <c r="H21" s="161" t="e">
        <f>H23-H22</f>
        <v>#N/A</v>
      </c>
      <c r="S21" s="6"/>
      <c r="T21" s="8"/>
    </row>
    <row r="22" spans="2:20">
      <c r="B22" s="43" t="s">
        <v>68</v>
      </c>
      <c r="C22" s="360">
        <f>Rates!B7</f>
        <v>0.17599999999999999</v>
      </c>
      <c r="D22" s="343"/>
      <c r="E22" s="343"/>
      <c r="F22" s="343"/>
      <c r="G22" s="337" t="s">
        <v>21</v>
      </c>
      <c r="H22" s="278" t="e">
        <f>ROUND(+H23*(C24*100/(100+C24*100)),2)</f>
        <v>#N/A</v>
      </c>
    </row>
    <row r="23" spans="2:20">
      <c r="B23" s="43" t="s">
        <v>19</v>
      </c>
      <c r="C23" s="360">
        <f>Rates!B77</f>
        <v>8.9300000000000004E-2</v>
      </c>
      <c r="D23" s="345"/>
      <c r="E23" s="345"/>
      <c r="F23" s="345"/>
      <c r="G23" s="337" t="s">
        <v>49</v>
      </c>
      <c r="H23" s="161" t="e">
        <f>MAX(CEILING(H20,0.05))</f>
        <v>#N/A</v>
      </c>
    </row>
    <row r="24" spans="2:20" ht="15" thickBot="1">
      <c r="B24" s="43" t="s">
        <v>21</v>
      </c>
      <c r="C24" s="362">
        <f>Rates!B79</f>
        <v>0.13</v>
      </c>
      <c r="D24" s="343"/>
      <c r="E24" s="343"/>
      <c r="F24" s="343"/>
      <c r="G24" s="43" t="s">
        <v>42</v>
      </c>
      <c r="H24" s="161" t="e">
        <f>C13*C25</f>
        <v>#N/A</v>
      </c>
    </row>
    <row r="25" spans="2:20" ht="15" thickBot="1">
      <c r="B25" s="56" t="s">
        <v>23</v>
      </c>
      <c r="C25" s="372" t="e">
        <f>VLOOKUP(C5,Rates!A82:B86,2,FALSE)</f>
        <v>#N/A</v>
      </c>
      <c r="D25" s="343"/>
      <c r="E25" s="343"/>
      <c r="F25" s="343"/>
      <c r="G25" s="116" t="s">
        <v>75</v>
      </c>
      <c r="H25" s="279" t="e">
        <f>SUM(H23:H24)</f>
        <v>#N/A</v>
      </c>
    </row>
    <row r="26" spans="2:20">
      <c r="D26" s="343"/>
      <c r="E26" s="343"/>
      <c r="F26" s="343"/>
      <c r="G26" s="346"/>
      <c r="H26" s="346"/>
    </row>
    <row r="27" spans="2:20">
      <c r="D27" s="343"/>
      <c r="E27" s="343"/>
      <c r="F27" s="343"/>
      <c r="G27" s="1" t="s">
        <v>4</v>
      </c>
      <c r="H27" s="346"/>
    </row>
    <row r="28" spans="2:20">
      <c r="D28" s="346"/>
      <c r="E28" s="346"/>
      <c r="F28" s="346"/>
      <c r="G28" s="228" t="s">
        <v>8</v>
      </c>
      <c r="H28" s="347"/>
    </row>
    <row r="29" spans="2:20">
      <c r="D29" s="346"/>
      <c r="E29" s="346"/>
      <c r="F29" s="346"/>
      <c r="G29" s="346"/>
      <c r="H29" s="346"/>
    </row>
    <row r="30" spans="2:20">
      <c r="D30" s="346"/>
      <c r="E30" s="346"/>
      <c r="F30" s="346"/>
      <c r="G30" s="347"/>
      <c r="H30" s="347"/>
    </row>
    <row r="31" spans="2:20">
      <c r="D31" s="347"/>
      <c r="E31" s="347"/>
      <c r="F31" s="347"/>
      <c r="G31" s="349"/>
      <c r="H31" s="349"/>
    </row>
    <row r="32" spans="2:20">
      <c r="D32" s="346"/>
      <c r="E32" s="346"/>
      <c r="F32" s="346"/>
      <c r="G32" s="349"/>
      <c r="H32" s="349"/>
      <c r="J32" s="158"/>
      <c r="K32" s="158"/>
    </row>
    <row r="33" spans="2:18">
      <c r="D33" s="347"/>
      <c r="E33" s="347"/>
      <c r="F33" s="347"/>
      <c r="G33" s="348"/>
      <c r="H33" s="348"/>
      <c r="J33" s="158"/>
    </row>
    <row r="34" spans="2:18">
      <c r="D34" s="349"/>
      <c r="E34" s="349"/>
      <c r="F34" s="349"/>
      <c r="G34" s="349"/>
      <c r="H34" s="349"/>
      <c r="J34" s="158"/>
      <c r="R34" s="117"/>
    </row>
    <row r="35" spans="2:18">
      <c r="D35" s="349"/>
      <c r="E35" s="349"/>
      <c r="F35" s="349"/>
      <c r="G35" s="349"/>
      <c r="H35" s="349"/>
      <c r="J35" s="158"/>
    </row>
    <row r="36" spans="2:18">
      <c r="D36" s="348"/>
      <c r="E36" s="348"/>
      <c r="F36" s="348"/>
      <c r="G36" s="349"/>
      <c r="H36" s="349"/>
      <c r="J36" s="158"/>
    </row>
    <row r="37" spans="2:18">
      <c r="D37" s="349"/>
      <c r="E37" s="349"/>
      <c r="F37" s="349"/>
      <c r="G37" s="325"/>
      <c r="H37" s="325"/>
      <c r="J37" s="158"/>
      <c r="K37" s="29"/>
      <c r="N37" s="8"/>
      <c r="P37" s="8"/>
    </row>
    <row r="38" spans="2:18">
      <c r="D38" s="349"/>
      <c r="E38" s="349"/>
      <c r="F38" s="349"/>
      <c r="G38" s="378"/>
      <c r="H38" s="378"/>
      <c r="J38" s="158"/>
      <c r="K38" s="29"/>
      <c r="N38" s="8"/>
      <c r="P38" s="8"/>
    </row>
    <row r="39" spans="2:18">
      <c r="D39" s="349"/>
      <c r="E39" s="349"/>
      <c r="F39" s="349"/>
      <c r="J39" s="158"/>
      <c r="K39" s="29"/>
      <c r="M39" s="36"/>
      <c r="N39" s="119"/>
      <c r="O39" s="36"/>
      <c r="P39" s="119"/>
    </row>
    <row r="40" spans="2:18">
      <c r="D40" s="325"/>
      <c r="E40" s="325"/>
      <c r="F40" s="325"/>
    </row>
    <row r="41" spans="2:18">
      <c r="D41" s="378"/>
      <c r="E41" s="378"/>
      <c r="F41" s="378"/>
      <c r="G41" s="5"/>
      <c r="H41" s="5"/>
      <c r="I41" s="3"/>
    </row>
    <row r="42" spans="2:18">
      <c r="J42" s="11"/>
      <c r="Q42" s="4"/>
    </row>
    <row r="43" spans="2:18">
      <c r="G43" s="8"/>
      <c r="H43" s="8"/>
      <c r="Q43" s="11"/>
    </row>
    <row r="44" spans="2:18">
      <c r="B44" s="5"/>
      <c r="C44" s="5"/>
      <c r="D44" s="5"/>
      <c r="E44" s="5"/>
      <c r="F44" s="5"/>
      <c r="G44" s="8"/>
      <c r="H44" s="8"/>
    </row>
    <row r="45" spans="2:18">
      <c r="B45" s="5"/>
      <c r="G45" s="8"/>
      <c r="H45" s="8"/>
      <c r="Q45" s="8"/>
    </row>
    <row r="46" spans="2:18">
      <c r="B46" s="5"/>
      <c r="C46" s="8"/>
      <c r="D46" s="8"/>
      <c r="E46" s="8"/>
      <c r="F46" s="8"/>
      <c r="G46" s="8"/>
      <c r="H46" s="8"/>
      <c r="J46" s="8"/>
    </row>
    <row r="47" spans="2:18">
      <c r="B47" s="5"/>
      <c r="C47" s="8"/>
      <c r="D47" s="8"/>
      <c r="E47" s="8"/>
      <c r="F47" s="8"/>
      <c r="G47" s="8"/>
      <c r="H47" s="8"/>
      <c r="Q47" s="8"/>
    </row>
    <row r="48" spans="2:18">
      <c r="B48" s="5"/>
      <c r="C48" s="8"/>
      <c r="D48" s="8"/>
      <c r="E48" s="8"/>
      <c r="F48" s="8"/>
      <c r="G48" s="8"/>
      <c r="H48" s="8"/>
      <c r="J48" s="11"/>
      <c r="Q48" s="8"/>
    </row>
    <row r="49" spans="2:19">
      <c r="B49" s="5"/>
      <c r="C49" s="8"/>
      <c r="D49" s="8"/>
      <c r="E49" s="8"/>
      <c r="F49" s="8"/>
      <c r="G49" s="8"/>
      <c r="H49" s="8"/>
      <c r="Q49" s="11"/>
      <c r="S49" s="11"/>
    </row>
    <row r="50" spans="2:19">
      <c r="B50" s="8"/>
      <c r="C50" s="8"/>
      <c r="D50" s="8"/>
      <c r="E50" s="8"/>
      <c r="F50" s="8"/>
      <c r="G50" s="8"/>
      <c r="H50" s="8"/>
      <c r="Q50" s="8"/>
    </row>
    <row r="51" spans="2:19">
      <c r="B51" s="8"/>
      <c r="C51" s="8"/>
      <c r="D51" s="8"/>
      <c r="E51" s="8"/>
      <c r="F51" s="8"/>
      <c r="G51" s="8"/>
      <c r="H51" s="8"/>
      <c r="Q51" s="8"/>
      <c r="R51" s="122"/>
      <c r="S51" s="123"/>
    </row>
    <row r="52" spans="2:19">
      <c r="B52" s="8"/>
      <c r="C52" s="8"/>
      <c r="D52" s="8"/>
      <c r="E52" s="8"/>
      <c r="F52" s="8"/>
      <c r="G52" s="8"/>
      <c r="H52" s="8"/>
      <c r="J52" s="8"/>
    </row>
    <row r="53" spans="2:19">
      <c r="B53" s="8"/>
      <c r="C53" s="8"/>
      <c r="D53" s="8"/>
      <c r="E53" s="8"/>
      <c r="F53" s="8"/>
      <c r="G53" s="8"/>
      <c r="H53" s="8"/>
      <c r="Q53" s="8"/>
      <c r="R53" s="124"/>
      <c r="S53" s="8"/>
    </row>
    <row r="54" spans="2:19">
      <c r="B54" s="8"/>
      <c r="C54" s="8"/>
      <c r="D54" s="8"/>
      <c r="E54" s="8"/>
      <c r="F54" s="8"/>
      <c r="G54" s="8"/>
      <c r="H54" s="8"/>
      <c r="J54" s="11"/>
      <c r="Q54" s="8"/>
      <c r="S54" s="8"/>
    </row>
    <row r="55" spans="2:19">
      <c r="B55" s="8"/>
      <c r="C55" s="8"/>
      <c r="D55" s="8"/>
      <c r="E55" s="8"/>
      <c r="F55" s="8"/>
      <c r="G55" s="8"/>
      <c r="H55" s="8"/>
      <c r="Q55" s="11"/>
      <c r="S55" s="11"/>
    </row>
    <row r="56" spans="2:19">
      <c r="B56" s="8"/>
      <c r="C56" s="8"/>
      <c r="D56" s="8"/>
      <c r="E56" s="8"/>
      <c r="F56" s="8"/>
      <c r="G56" s="8"/>
      <c r="H56" s="8"/>
      <c r="J56" s="11"/>
      <c r="Q56" s="8"/>
    </row>
    <row r="57" spans="2:19">
      <c r="B57" s="8"/>
      <c r="C57" s="8"/>
      <c r="D57" s="8"/>
      <c r="E57" s="8"/>
      <c r="F57" s="8"/>
      <c r="G57" s="8"/>
      <c r="H57" s="8"/>
      <c r="Q57" s="11"/>
    </row>
    <row r="58" spans="2:19">
      <c r="B58" s="8"/>
      <c r="C58" s="8"/>
      <c r="D58" s="8"/>
      <c r="E58" s="8"/>
      <c r="F58" s="8"/>
      <c r="G58" s="8"/>
      <c r="H58" s="8"/>
      <c r="Q58" s="8"/>
    </row>
    <row r="59" spans="2:19">
      <c r="B59" s="8"/>
      <c r="C59" s="8"/>
      <c r="D59" s="8"/>
      <c r="E59" s="8"/>
      <c r="F59" s="8"/>
      <c r="Q59" s="123"/>
    </row>
    <row r="60" spans="2:19">
      <c r="B60" s="8"/>
      <c r="C60" s="8"/>
      <c r="D60" s="8"/>
      <c r="E60" s="8"/>
      <c r="F60" s="8"/>
      <c r="J60" s="11"/>
      <c r="Q60" s="8"/>
    </row>
    <row r="61" spans="2:19">
      <c r="B61" s="8"/>
      <c r="C61" s="8"/>
      <c r="D61" s="8"/>
      <c r="E61" s="8"/>
      <c r="F61" s="8"/>
      <c r="Q61" s="11"/>
    </row>
    <row r="62" spans="2:19">
      <c r="Q62" s="8"/>
    </row>
    <row r="63" spans="2:19">
      <c r="Q63" s="8"/>
    </row>
    <row r="64" spans="2:19">
      <c r="Q64" s="8"/>
    </row>
    <row r="65" spans="3:17">
      <c r="Q65" s="8"/>
    </row>
    <row r="66" spans="3:17">
      <c r="J66" s="11"/>
    </row>
    <row r="67" spans="3:17">
      <c r="Q67" s="125"/>
    </row>
    <row r="68" spans="3:17">
      <c r="J68" s="9"/>
    </row>
    <row r="69" spans="3:17">
      <c r="Q69" s="9"/>
    </row>
    <row r="70" spans="3:17">
      <c r="Q70" s="14"/>
    </row>
    <row r="71" spans="3:17">
      <c r="Q71" s="14"/>
    </row>
    <row r="72" spans="3:17">
      <c r="G72" s="9"/>
      <c r="H72" s="9"/>
      <c r="J72" s="9"/>
      <c r="Q72" s="14"/>
    </row>
    <row r="73" spans="3:17">
      <c r="G73" s="14"/>
      <c r="H73" s="14"/>
      <c r="Q73" s="9"/>
    </row>
    <row r="74" spans="3:17">
      <c r="Q74" s="14"/>
    </row>
    <row r="75" spans="3:17">
      <c r="C75" s="9"/>
      <c r="D75" s="9"/>
      <c r="E75" s="9"/>
      <c r="F75" s="9"/>
    </row>
    <row r="76" spans="3:17">
      <c r="C76" s="14"/>
      <c r="D76" s="14"/>
      <c r="E76" s="14"/>
      <c r="F76" s="14"/>
    </row>
    <row r="77" spans="3:17">
      <c r="G77" s="14"/>
      <c r="H77" s="14"/>
    </row>
    <row r="78" spans="3:17">
      <c r="G78" s="9"/>
      <c r="H78" s="9"/>
      <c r="J78" s="9"/>
      <c r="Q78" s="14"/>
    </row>
    <row r="79" spans="3:17">
      <c r="Q79" s="9"/>
    </row>
    <row r="80" spans="3:17">
      <c r="C80" s="14"/>
      <c r="D80" s="14"/>
      <c r="E80" s="14"/>
      <c r="F80" s="14"/>
      <c r="G80" s="14"/>
      <c r="H80" s="14"/>
    </row>
    <row r="81" spans="3:8">
      <c r="C81" s="9"/>
      <c r="D81" s="9"/>
      <c r="E81" s="9"/>
      <c r="F81" s="9"/>
      <c r="G81" s="14"/>
      <c r="H81" s="14"/>
    </row>
    <row r="82" spans="3:8">
      <c r="G82" s="14"/>
      <c r="H82" s="14"/>
    </row>
    <row r="83" spans="3:8">
      <c r="C83" s="14"/>
      <c r="D83" s="14"/>
      <c r="E83" s="14"/>
      <c r="F83" s="14"/>
      <c r="G83" s="14"/>
      <c r="H83" s="14"/>
    </row>
    <row r="84" spans="3:8">
      <c r="C84" s="14"/>
      <c r="D84" s="14"/>
      <c r="E84" s="14"/>
      <c r="F84" s="14"/>
    </row>
    <row r="85" spans="3:8">
      <c r="C85" s="14"/>
      <c r="D85" s="14"/>
      <c r="E85" s="14"/>
      <c r="F85" s="14"/>
    </row>
    <row r="86" spans="3:8">
      <c r="C86" s="14"/>
      <c r="D86" s="14"/>
      <c r="E86" s="14"/>
      <c r="F86" s="14"/>
    </row>
  </sheetData>
  <sheetProtection formatColumns="0" autoFilter="0" pivotTables="0"/>
  <protectedRanges>
    <protectedRange sqref="C25 C21 C8:C14" name="Range1"/>
    <protectedRange sqref="C4" name="Range1_1"/>
    <protectedRange password="CCE3" sqref="B25" name="Range3_1_1"/>
  </protectedRanges>
  <mergeCells count="1">
    <mergeCell ref="D14:E14"/>
  </mergeCells>
  <conditionalFormatting sqref="E15">
    <cfRule type="cellIs" dxfId="35" priority="1" operator="lessThan">
      <formula>0</formula>
    </cfRule>
    <cfRule type="cellIs" dxfId="34" priority="2" operator="greaterThan">
      <formula>0</formula>
    </cfRule>
    <cfRule type="cellIs" dxfId="33" priority="3" operator="greaterThan">
      <formula>0</formula>
    </cfRule>
  </conditionalFormatting>
  <dataValidations count="5">
    <dataValidation type="list" showInputMessage="1" showErrorMessage="1" sqref="WVP983032 WLT983032 WBX983032 VSB983032 VIF983032 UYJ983032 UON983032 UER983032 TUV983032 TKZ983032 TBD983032 SRH983032 SHL983032 RXP983032 RNT983032 RDX983032 QUB983032 QKF983032 QAJ983032 PQN983032 PGR983032 OWV983032 OMZ983032 ODD983032 NTH983032 NJL983032 MZP983032 MPT983032 MFX983032 LWB983032 LMF983032 LCJ983032 KSN983032 KIR983032 JYV983032 JOZ983032 JFD983032 IVH983032 ILL983032 IBP983032 HRT983032 HHX983032 GYB983032 GOF983032 GEJ983032 FUN983032 FKR983032 FAV983032 EQZ983032 EHD983032 DXH983032 DNL983032 DDP983032 CTT983032 CJX983032 CAB983032 BQF983032 BGJ983032 AWN983032 AMR983032 ACV983032 SZ983032 JD983032 WVP917496 WLT917496 WBX917496 VSB917496 VIF917496 UYJ917496 UON917496 UER917496 TUV917496 TKZ917496 TBD917496 SRH917496 SHL917496 RXP917496 RNT917496 RDX917496 QUB917496 QKF917496 QAJ917496 PQN917496 PGR917496 OWV917496 OMZ917496 ODD917496 NTH917496 NJL917496 MZP917496 MPT917496 MFX917496 LWB917496 LMF917496 LCJ917496 KSN917496 KIR917496 JYV917496 JOZ917496 JFD917496 IVH917496 ILL917496 IBP917496 HRT917496 HHX917496 GYB917496 GOF917496 GEJ917496 FUN917496 FKR917496 FAV917496 EQZ917496 EHD917496 DXH917496 DNL917496 DDP917496 CTT917496 CJX917496 CAB917496 BQF917496 BGJ917496 AWN917496 AMR917496 ACV917496 SZ917496 JD917496 WVP851960 WLT851960 WBX851960 VSB851960 VIF851960 UYJ851960 UON851960 UER851960 TUV851960 TKZ851960 TBD851960 SRH851960 SHL851960 RXP851960 RNT851960 RDX851960 QUB851960 QKF851960 QAJ851960 PQN851960 PGR851960 OWV851960 OMZ851960 ODD851960 NTH851960 NJL851960 MZP851960 MPT851960 MFX851960 LWB851960 LMF851960 LCJ851960 KSN851960 KIR851960 JYV851960 JOZ851960 JFD851960 IVH851960 ILL851960 IBP851960 HRT851960 HHX851960 GYB851960 GOF851960 GEJ851960 FUN851960 FKR851960 FAV851960 EQZ851960 EHD851960 DXH851960 DNL851960 DDP851960 CTT851960 CJX851960 CAB851960 BQF851960 BGJ851960 AWN851960 AMR851960 ACV851960 SZ851960 JD851960 WVP786424 WLT786424 WBX786424 VSB786424 VIF786424 UYJ786424 UON786424 UER786424 TUV786424 TKZ786424 TBD786424 SRH786424 SHL786424 RXP786424 RNT786424 RDX786424 QUB786424 QKF786424 QAJ786424 PQN786424 PGR786424 OWV786424 OMZ786424 ODD786424 NTH786424 NJL786424 MZP786424 MPT786424 MFX786424 LWB786424 LMF786424 LCJ786424 KSN786424 KIR786424 JYV786424 JOZ786424 JFD786424 IVH786424 ILL786424 IBP786424 HRT786424 HHX786424 GYB786424 GOF786424 GEJ786424 FUN786424 FKR786424 FAV786424 EQZ786424 EHD786424 DXH786424 DNL786424 DDP786424 CTT786424 CJX786424 CAB786424 BQF786424 BGJ786424 AWN786424 AMR786424 ACV786424 SZ786424 JD786424 WVP720888 WLT720888 WBX720888 VSB720888 VIF720888 UYJ720888 UON720888 UER720888 TUV720888 TKZ720888 TBD720888 SRH720888 SHL720888 RXP720888 RNT720888 RDX720888 QUB720888 QKF720888 QAJ720888 PQN720888 PGR720888 OWV720888 OMZ720888 ODD720888 NTH720888 NJL720888 MZP720888 MPT720888 MFX720888 LWB720888 LMF720888 LCJ720888 KSN720888 KIR720888 JYV720888 JOZ720888 JFD720888 IVH720888 ILL720888 IBP720888 HRT720888 HHX720888 GYB720888 GOF720888 GEJ720888 FUN720888 FKR720888 FAV720888 EQZ720888 EHD720888 DXH720888 DNL720888 DDP720888 CTT720888 CJX720888 CAB720888 BQF720888 BGJ720888 AWN720888 AMR720888 ACV720888 SZ720888 JD720888 WVP655352 WLT655352 WBX655352 VSB655352 VIF655352 UYJ655352 UON655352 UER655352 TUV655352 TKZ655352 TBD655352 SRH655352 SHL655352 RXP655352 RNT655352 RDX655352 QUB655352 QKF655352 QAJ655352 PQN655352 PGR655352 OWV655352 OMZ655352 ODD655352 NTH655352 NJL655352 MZP655352 MPT655352 MFX655352 LWB655352 LMF655352 LCJ655352 KSN655352 KIR655352 JYV655352 JOZ655352 JFD655352 IVH655352 ILL655352 IBP655352 HRT655352 HHX655352 GYB655352 GOF655352 GEJ655352 FUN655352 FKR655352 FAV655352 EQZ655352 EHD655352 DXH655352 DNL655352 DDP655352 CTT655352 CJX655352 CAB655352 BQF655352 BGJ655352 AWN655352 AMR655352 ACV655352 SZ655352 JD655352 WVP589816 WLT589816 WBX589816 VSB589816 VIF589816 UYJ589816 UON589816 UER589816 TUV589816 TKZ589816 TBD589816 SRH589816 SHL589816 RXP589816 RNT589816 RDX589816 QUB589816 QKF589816 QAJ589816 PQN589816 PGR589816 OWV589816 OMZ589816 ODD589816 NTH589816 NJL589816 MZP589816 MPT589816 MFX589816 LWB589816 LMF589816 LCJ589816 KSN589816 KIR589816 JYV589816 JOZ589816 JFD589816 IVH589816 ILL589816 IBP589816 HRT589816 HHX589816 GYB589816 GOF589816 GEJ589816 FUN589816 FKR589816 FAV589816 EQZ589816 EHD589816 DXH589816 DNL589816 DDP589816 CTT589816 CJX589816 CAB589816 BQF589816 BGJ589816 AWN589816 AMR589816 ACV589816 SZ589816 JD589816 WVP524280 WLT524280 WBX524280 VSB524280 VIF524280 UYJ524280 UON524280 UER524280 TUV524280 TKZ524280 TBD524280 SRH524280 SHL524280 RXP524280 RNT524280 RDX524280 QUB524280 QKF524280 QAJ524280 PQN524280 PGR524280 OWV524280 OMZ524280 ODD524280 NTH524280 NJL524280 MZP524280 MPT524280 MFX524280 LWB524280 LMF524280 LCJ524280 KSN524280 KIR524280 JYV524280 JOZ524280 JFD524280 IVH524280 ILL524280 IBP524280 HRT524280 HHX524280 GYB524280 GOF524280 GEJ524280 FUN524280 FKR524280 FAV524280 EQZ524280 EHD524280 DXH524280 DNL524280 DDP524280 CTT524280 CJX524280 CAB524280 BQF524280 BGJ524280 AWN524280 AMR524280 ACV524280 SZ524280 JD524280 WVP458744 WLT458744 WBX458744 VSB458744 VIF458744 UYJ458744 UON458744 UER458744 TUV458744 TKZ458744 TBD458744 SRH458744 SHL458744 RXP458744 RNT458744 RDX458744 QUB458744 QKF458744 QAJ458744 PQN458744 PGR458744 OWV458744 OMZ458744 ODD458744 NTH458744 NJL458744 MZP458744 MPT458744 MFX458744 LWB458744 LMF458744 LCJ458744 KSN458744 KIR458744 JYV458744 JOZ458744 JFD458744 IVH458744 ILL458744 IBP458744 HRT458744 HHX458744 GYB458744 GOF458744 GEJ458744 FUN458744 FKR458744 FAV458744 EQZ458744 EHD458744 DXH458744 DNL458744 DDP458744 CTT458744 CJX458744 CAB458744 BQF458744 BGJ458744 AWN458744 AMR458744 ACV458744 SZ458744 JD458744 WVP393208 WLT393208 WBX393208 VSB393208 VIF393208 UYJ393208 UON393208 UER393208 TUV393208 TKZ393208 TBD393208 SRH393208 SHL393208 RXP393208 RNT393208 RDX393208 QUB393208 QKF393208 QAJ393208 PQN393208 PGR393208 OWV393208 OMZ393208 ODD393208 NTH393208 NJL393208 MZP393208 MPT393208 MFX393208 LWB393208 LMF393208 LCJ393208 KSN393208 KIR393208 JYV393208 JOZ393208 JFD393208 IVH393208 ILL393208 IBP393208 HRT393208 HHX393208 GYB393208 GOF393208 GEJ393208 FUN393208 FKR393208 FAV393208 EQZ393208 EHD393208 DXH393208 DNL393208 DDP393208 CTT393208 CJX393208 CAB393208 BQF393208 BGJ393208 AWN393208 AMR393208 ACV393208 SZ393208 JD393208 WVP327672 WLT327672 WBX327672 VSB327672 VIF327672 UYJ327672 UON327672 UER327672 TUV327672 TKZ327672 TBD327672 SRH327672 SHL327672 RXP327672 RNT327672 RDX327672 QUB327672 QKF327672 QAJ327672 PQN327672 PGR327672 OWV327672 OMZ327672 ODD327672 NTH327672 NJL327672 MZP327672 MPT327672 MFX327672 LWB327672 LMF327672 LCJ327672 KSN327672 KIR327672 JYV327672 JOZ327672 JFD327672 IVH327672 ILL327672 IBP327672 HRT327672 HHX327672 GYB327672 GOF327672 GEJ327672 FUN327672 FKR327672 FAV327672 EQZ327672 EHD327672 DXH327672 DNL327672 DDP327672 CTT327672 CJX327672 CAB327672 BQF327672 BGJ327672 AWN327672 AMR327672 ACV327672 SZ327672 JD327672 WVP262136 WLT262136 WBX262136 VSB262136 VIF262136 UYJ262136 UON262136 UER262136 TUV262136 TKZ262136 TBD262136 SRH262136 SHL262136 RXP262136 RNT262136 RDX262136 QUB262136 QKF262136 QAJ262136 PQN262136 PGR262136 OWV262136 OMZ262136 ODD262136 NTH262136 NJL262136 MZP262136 MPT262136 MFX262136 LWB262136 LMF262136 LCJ262136 KSN262136 KIR262136 JYV262136 JOZ262136 JFD262136 IVH262136 ILL262136 IBP262136 HRT262136 HHX262136 GYB262136 GOF262136 GEJ262136 FUN262136 FKR262136 FAV262136 EQZ262136 EHD262136 DXH262136 DNL262136 DDP262136 CTT262136 CJX262136 CAB262136 BQF262136 BGJ262136 AWN262136 AMR262136 ACV262136 SZ262136 JD262136 WVP196600 WLT196600 WBX196600 VSB196600 VIF196600 UYJ196600 UON196600 UER196600 TUV196600 TKZ196600 TBD196600 SRH196600 SHL196600 RXP196600 RNT196600 RDX196600 QUB196600 QKF196600 QAJ196600 PQN196600 PGR196600 OWV196600 OMZ196600 ODD196600 NTH196600 NJL196600 MZP196600 MPT196600 MFX196600 LWB196600 LMF196600 LCJ196600 KSN196600 KIR196600 JYV196600 JOZ196600 JFD196600 IVH196600 ILL196600 IBP196600 HRT196600 HHX196600 GYB196600 GOF196600 GEJ196600 FUN196600 FKR196600 FAV196600 EQZ196600 EHD196600 DXH196600 DNL196600 DDP196600 CTT196600 CJX196600 CAB196600 BQF196600 BGJ196600 AWN196600 AMR196600 ACV196600 SZ196600 JD196600 WVP131064 WLT131064 WBX131064 VSB131064 VIF131064 UYJ131064 UON131064 UER131064 TUV131064 TKZ131064 TBD131064 SRH131064 SHL131064 RXP131064 RNT131064 RDX131064 QUB131064 QKF131064 QAJ131064 PQN131064 PGR131064 OWV131064 OMZ131064 ODD131064 NTH131064 NJL131064 MZP131064 MPT131064 MFX131064 LWB131064 LMF131064 LCJ131064 KSN131064 KIR131064 JYV131064 JOZ131064 JFD131064 IVH131064 ILL131064 IBP131064 HRT131064 HHX131064 GYB131064 GOF131064 GEJ131064 FUN131064 FKR131064 FAV131064 EQZ131064 EHD131064 DXH131064 DNL131064 DDP131064 CTT131064 CJX131064 CAB131064 BQF131064 BGJ131064 AWN131064 AMR131064 ACV131064 SZ131064 JD131064 WVP65528 WLT65528 WBX65528 VSB65528 VIF65528 UYJ65528 UON65528 UER65528 TUV65528 TKZ65528 TBD65528 SRH65528 SHL65528 RXP65528 RNT65528 RDX65528 QUB65528 QKF65528 QAJ65528 PQN65528 PGR65528 OWV65528 OMZ65528 ODD65528 NTH65528 NJL65528 MZP65528 MPT65528 MFX65528 LWB65528 LMF65528 LCJ65528 KSN65528 KIR65528 JYV65528 JOZ65528 JFD65528 IVH65528 ILL65528 IBP65528 HRT65528 HHX65528 GYB65528 GOF65528 GEJ65528 FUN65528 FKR65528 FAV65528 EQZ65528 EHD65528 DXH65528 DNL65528 DDP65528 CTT65528 CJX65528 CAB65528 BQF65528 BGJ65528 AWN65528 AMR65528 ACV65528 SZ65528 JD65528 WVP6 WLT6 WBX6 VSB6 VIF6 UYJ6 UON6 UER6 TUV6 TKZ6 TBD6 SRH6 SHL6 RXP6 RNT6 RDX6 QUB6 QKF6 QAJ6 PQN6 PGR6 OWV6 OMZ6 ODD6 NTH6 NJL6 MZP6 MPT6 MFX6 LWB6 LMF6 LCJ6 KSN6 KIR6 JYV6 JOZ6 JFD6 IVH6 ILL6 IBP6 HRT6 HHX6 GYB6 GOF6 GEJ6 FUN6 FKR6 FAV6 EQZ6 EHD6 DXH6 DNL6 DDP6 CTT6 CJX6 CAB6 BQF6 BGJ6 AWN6 AMR6 ACV6 SZ6 JD6 G65527:H65527 C65530:F65530 G131063:H131063 C131066:F131066 G196599:H196599 C196602:F196602 G262135:H262135 C262138:F262138 G327671:H327671 C327674:F327674 G393207:H393207 C393210:F393210 G458743:H458743 C458746:F458746 G524279:H524279 C524282:F524282 G589815:H589815 C589818:F589818 G655351:H655351 C655354:F655354 G720887:H720887 C720890:F720890 G786423:H786423 C786426:F786426 G851959:H851959 C851962:F851962 G917495:H917495 C917498:F917498 G983031:H983031 C983034:F983034" xr:uid="{E7A7C140-C205-4208-B8E9-11C5AEACBBA6}">
      <formula1>$B$46:$B$47</formula1>
    </dataValidation>
    <dataValidation type="list" showInputMessage="1" showErrorMessage="1" sqref="WVP983031 JD65527 SZ65527 ACV65527 AMR65527 AWN65527 BGJ65527 BQF65527 CAB65527 CJX65527 CTT65527 DDP65527 DNL65527 DXH65527 EHD65527 EQZ65527 FAV65527 FKR65527 FUN65527 GEJ65527 GOF65527 GYB65527 HHX65527 HRT65527 IBP65527 ILL65527 IVH65527 JFD65527 JOZ65527 JYV65527 KIR65527 KSN65527 LCJ65527 LMF65527 LWB65527 MFX65527 MPT65527 MZP65527 NJL65527 NTH65527 ODD65527 OMZ65527 OWV65527 PGR65527 PQN65527 QAJ65527 QKF65527 QUB65527 RDX65527 RNT65527 RXP65527 SHL65527 SRH65527 TBD65527 TKZ65527 TUV65527 UER65527 UON65527 UYJ65527 VIF65527 VSB65527 WBX65527 WLT65527 WVP65527 JD131063 SZ131063 ACV131063 AMR131063 AWN131063 BGJ131063 BQF131063 CAB131063 CJX131063 CTT131063 DDP131063 DNL131063 DXH131063 EHD131063 EQZ131063 FAV131063 FKR131063 FUN131063 GEJ131063 GOF131063 GYB131063 HHX131063 HRT131063 IBP131063 ILL131063 IVH131063 JFD131063 JOZ131063 JYV131063 KIR131063 KSN131063 LCJ131063 LMF131063 LWB131063 MFX131063 MPT131063 MZP131063 NJL131063 NTH131063 ODD131063 OMZ131063 OWV131063 PGR131063 PQN131063 QAJ131063 QKF131063 QUB131063 RDX131063 RNT131063 RXP131063 SHL131063 SRH131063 TBD131063 TKZ131063 TUV131063 UER131063 UON131063 UYJ131063 VIF131063 VSB131063 WBX131063 WLT131063 WVP131063 JD196599 SZ196599 ACV196599 AMR196599 AWN196599 BGJ196599 BQF196599 CAB196599 CJX196599 CTT196599 DDP196599 DNL196599 DXH196599 EHD196599 EQZ196599 FAV196599 FKR196599 FUN196599 GEJ196599 GOF196599 GYB196599 HHX196599 HRT196599 IBP196599 ILL196599 IVH196599 JFD196599 JOZ196599 JYV196599 KIR196599 KSN196599 LCJ196599 LMF196599 LWB196599 MFX196599 MPT196599 MZP196599 NJL196599 NTH196599 ODD196599 OMZ196599 OWV196599 PGR196599 PQN196599 QAJ196599 QKF196599 QUB196599 RDX196599 RNT196599 RXP196599 SHL196599 SRH196599 TBD196599 TKZ196599 TUV196599 UER196599 UON196599 UYJ196599 VIF196599 VSB196599 WBX196599 WLT196599 WVP196599 JD262135 SZ262135 ACV262135 AMR262135 AWN262135 BGJ262135 BQF262135 CAB262135 CJX262135 CTT262135 DDP262135 DNL262135 DXH262135 EHD262135 EQZ262135 FAV262135 FKR262135 FUN262135 GEJ262135 GOF262135 GYB262135 HHX262135 HRT262135 IBP262135 ILL262135 IVH262135 JFD262135 JOZ262135 JYV262135 KIR262135 KSN262135 LCJ262135 LMF262135 LWB262135 MFX262135 MPT262135 MZP262135 NJL262135 NTH262135 ODD262135 OMZ262135 OWV262135 PGR262135 PQN262135 QAJ262135 QKF262135 QUB262135 RDX262135 RNT262135 RXP262135 SHL262135 SRH262135 TBD262135 TKZ262135 TUV262135 UER262135 UON262135 UYJ262135 VIF262135 VSB262135 WBX262135 WLT262135 WVP262135 JD327671 SZ327671 ACV327671 AMR327671 AWN327671 BGJ327671 BQF327671 CAB327671 CJX327671 CTT327671 DDP327671 DNL327671 DXH327671 EHD327671 EQZ327671 FAV327671 FKR327671 FUN327671 GEJ327671 GOF327671 GYB327671 HHX327671 HRT327671 IBP327671 ILL327671 IVH327671 JFD327671 JOZ327671 JYV327671 KIR327671 KSN327671 LCJ327671 LMF327671 LWB327671 MFX327671 MPT327671 MZP327671 NJL327671 NTH327671 ODD327671 OMZ327671 OWV327671 PGR327671 PQN327671 QAJ327671 QKF327671 QUB327671 RDX327671 RNT327671 RXP327671 SHL327671 SRH327671 TBD327671 TKZ327671 TUV327671 UER327671 UON327671 UYJ327671 VIF327671 VSB327671 WBX327671 WLT327671 WVP327671 JD393207 SZ393207 ACV393207 AMR393207 AWN393207 BGJ393207 BQF393207 CAB393207 CJX393207 CTT393207 DDP393207 DNL393207 DXH393207 EHD393207 EQZ393207 FAV393207 FKR393207 FUN393207 GEJ393207 GOF393207 GYB393207 HHX393207 HRT393207 IBP393207 ILL393207 IVH393207 JFD393207 JOZ393207 JYV393207 KIR393207 KSN393207 LCJ393207 LMF393207 LWB393207 MFX393207 MPT393207 MZP393207 NJL393207 NTH393207 ODD393207 OMZ393207 OWV393207 PGR393207 PQN393207 QAJ393207 QKF393207 QUB393207 RDX393207 RNT393207 RXP393207 SHL393207 SRH393207 TBD393207 TKZ393207 TUV393207 UER393207 UON393207 UYJ393207 VIF393207 VSB393207 WBX393207 WLT393207 WVP393207 JD458743 SZ458743 ACV458743 AMR458743 AWN458743 BGJ458743 BQF458743 CAB458743 CJX458743 CTT458743 DDP458743 DNL458743 DXH458743 EHD458743 EQZ458743 FAV458743 FKR458743 FUN458743 GEJ458743 GOF458743 GYB458743 HHX458743 HRT458743 IBP458743 ILL458743 IVH458743 JFD458743 JOZ458743 JYV458743 KIR458743 KSN458743 LCJ458743 LMF458743 LWB458743 MFX458743 MPT458743 MZP458743 NJL458743 NTH458743 ODD458743 OMZ458743 OWV458743 PGR458743 PQN458743 QAJ458743 QKF458743 QUB458743 RDX458743 RNT458743 RXP458743 SHL458743 SRH458743 TBD458743 TKZ458743 TUV458743 UER458743 UON458743 UYJ458743 VIF458743 VSB458743 WBX458743 WLT458743 WVP458743 JD524279 SZ524279 ACV524279 AMR524279 AWN524279 BGJ524279 BQF524279 CAB524279 CJX524279 CTT524279 DDP524279 DNL524279 DXH524279 EHD524279 EQZ524279 FAV524279 FKR524279 FUN524279 GEJ524279 GOF524279 GYB524279 HHX524279 HRT524279 IBP524279 ILL524279 IVH524279 JFD524279 JOZ524279 JYV524279 KIR524279 KSN524279 LCJ524279 LMF524279 LWB524279 MFX524279 MPT524279 MZP524279 NJL524279 NTH524279 ODD524279 OMZ524279 OWV524279 PGR524279 PQN524279 QAJ524279 QKF524279 QUB524279 RDX524279 RNT524279 RXP524279 SHL524279 SRH524279 TBD524279 TKZ524279 TUV524279 UER524279 UON524279 UYJ524279 VIF524279 VSB524279 WBX524279 WLT524279 WVP524279 JD589815 SZ589815 ACV589815 AMR589815 AWN589815 BGJ589815 BQF589815 CAB589815 CJX589815 CTT589815 DDP589815 DNL589815 DXH589815 EHD589815 EQZ589815 FAV589815 FKR589815 FUN589815 GEJ589815 GOF589815 GYB589815 HHX589815 HRT589815 IBP589815 ILL589815 IVH589815 JFD589815 JOZ589815 JYV589815 KIR589815 KSN589815 LCJ589815 LMF589815 LWB589815 MFX589815 MPT589815 MZP589815 NJL589815 NTH589815 ODD589815 OMZ589815 OWV589815 PGR589815 PQN589815 QAJ589815 QKF589815 QUB589815 RDX589815 RNT589815 RXP589815 SHL589815 SRH589815 TBD589815 TKZ589815 TUV589815 UER589815 UON589815 UYJ589815 VIF589815 VSB589815 WBX589815 WLT589815 WVP589815 JD655351 SZ655351 ACV655351 AMR655351 AWN655351 BGJ655351 BQF655351 CAB655351 CJX655351 CTT655351 DDP655351 DNL655351 DXH655351 EHD655351 EQZ655351 FAV655351 FKR655351 FUN655351 GEJ655351 GOF655351 GYB655351 HHX655351 HRT655351 IBP655351 ILL655351 IVH655351 JFD655351 JOZ655351 JYV655351 KIR655351 KSN655351 LCJ655351 LMF655351 LWB655351 MFX655351 MPT655351 MZP655351 NJL655351 NTH655351 ODD655351 OMZ655351 OWV655351 PGR655351 PQN655351 QAJ655351 QKF655351 QUB655351 RDX655351 RNT655351 RXP655351 SHL655351 SRH655351 TBD655351 TKZ655351 TUV655351 UER655351 UON655351 UYJ655351 VIF655351 VSB655351 WBX655351 WLT655351 WVP655351 JD720887 SZ720887 ACV720887 AMR720887 AWN720887 BGJ720887 BQF720887 CAB720887 CJX720887 CTT720887 DDP720887 DNL720887 DXH720887 EHD720887 EQZ720887 FAV720887 FKR720887 FUN720887 GEJ720887 GOF720887 GYB720887 HHX720887 HRT720887 IBP720887 ILL720887 IVH720887 JFD720887 JOZ720887 JYV720887 KIR720887 KSN720887 LCJ720887 LMF720887 LWB720887 MFX720887 MPT720887 MZP720887 NJL720887 NTH720887 ODD720887 OMZ720887 OWV720887 PGR720887 PQN720887 QAJ720887 QKF720887 QUB720887 RDX720887 RNT720887 RXP720887 SHL720887 SRH720887 TBD720887 TKZ720887 TUV720887 UER720887 UON720887 UYJ720887 VIF720887 VSB720887 WBX720887 WLT720887 WVP720887 JD786423 SZ786423 ACV786423 AMR786423 AWN786423 BGJ786423 BQF786423 CAB786423 CJX786423 CTT786423 DDP786423 DNL786423 DXH786423 EHD786423 EQZ786423 FAV786423 FKR786423 FUN786423 GEJ786423 GOF786423 GYB786423 HHX786423 HRT786423 IBP786423 ILL786423 IVH786423 JFD786423 JOZ786423 JYV786423 KIR786423 KSN786423 LCJ786423 LMF786423 LWB786423 MFX786423 MPT786423 MZP786423 NJL786423 NTH786423 ODD786423 OMZ786423 OWV786423 PGR786423 PQN786423 QAJ786423 QKF786423 QUB786423 RDX786423 RNT786423 RXP786423 SHL786423 SRH786423 TBD786423 TKZ786423 TUV786423 UER786423 UON786423 UYJ786423 VIF786423 VSB786423 WBX786423 WLT786423 WVP786423 JD851959 SZ851959 ACV851959 AMR851959 AWN851959 BGJ851959 BQF851959 CAB851959 CJX851959 CTT851959 DDP851959 DNL851959 DXH851959 EHD851959 EQZ851959 FAV851959 FKR851959 FUN851959 GEJ851959 GOF851959 GYB851959 HHX851959 HRT851959 IBP851959 ILL851959 IVH851959 JFD851959 JOZ851959 JYV851959 KIR851959 KSN851959 LCJ851959 LMF851959 LWB851959 MFX851959 MPT851959 MZP851959 NJL851959 NTH851959 ODD851959 OMZ851959 OWV851959 PGR851959 PQN851959 QAJ851959 QKF851959 QUB851959 RDX851959 RNT851959 RXP851959 SHL851959 SRH851959 TBD851959 TKZ851959 TUV851959 UER851959 UON851959 UYJ851959 VIF851959 VSB851959 WBX851959 WLT851959 WVP851959 JD917495 SZ917495 ACV917495 AMR917495 AWN917495 BGJ917495 BQF917495 CAB917495 CJX917495 CTT917495 DDP917495 DNL917495 DXH917495 EHD917495 EQZ917495 FAV917495 FKR917495 FUN917495 GEJ917495 GOF917495 GYB917495 HHX917495 HRT917495 IBP917495 ILL917495 IVH917495 JFD917495 JOZ917495 JYV917495 KIR917495 KSN917495 LCJ917495 LMF917495 LWB917495 MFX917495 MPT917495 MZP917495 NJL917495 NTH917495 ODD917495 OMZ917495 OWV917495 PGR917495 PQN917495 QAJ917495 QKF917495 QUB917495 RDX917495 RNT917495 RXP917495 SHL917495 SRH917495 TBD917495 TKZ917495 TUV917495 UER917495 UON917495 UYJ917495 VIF917495 VSB917495 WBX917495 WLT917495 WVP917495 JD983031 SZ983031 ACV983031 AMR983031 AWN983031 BGJ983031 BQF983031 CAB983031 CJX983031 CTT983031 DDP983031 DNL983031 DXH983031 EHD983031 EQZ983031 FAV983031 FKR983031 FUN983031 GEJ983031 GOF983031 GYB983031 HHX983031 HRT983031 IBP983031 ILL983031 IVH983031 JFD983031 JOZ983031 JYV983031 KIR983031 KSN983031 LCJ983031 LMF983031 LWB983031 MFX983031 MPT983031 MZP983031 NJL983031 NTH983031 ODD983031 OMZ983031 OWV983031 PGR983031 PQN983031 QAJ983031 QKF983031 QUB983031 RDX983031 RNT983031 RXP983031 SHL983031 SRH983031 TBD983031 TKZ983031 TUV983031 UER983031 UON983031 UYJ983031 VIF983031 VSB983031 WBX983031 WLT983031 C983033:F983033 C917497:F917497 C851961:F851961 C786425:F786425 C720889:F720889 C655353:F655353 C589817:F589817 C524281:F524281 C458745:F458745 C393209:F393209 C327673:F327673 C262137:F262137 C196601:F196601 C131065:F131065 C65529:F65529" xr:uid="{E98DDEEA-B6FB-4E90-8439-AA0D250A9905}">
      <formula1>B65573:B65574</formula1>
    </dataValidation>
    <dataValidation type="list" showInputMessage="1" showErrorMessage="1" sqref="SZ5 JD5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xr:uid="{AA444715-8B9A-4675-A452-E1F85DC995DF}">
      <formula1>#REF!</formula1>
    </dataValidation>
    <dataValidation type="list" showInputMessage="1" showErrorMessage="1" sqref="G65526:H65526 G983030:H983030 G917494:H917494 G851958:H851958 G786422:H786422 G720886:H720886 G655350:H655350 G589814:H589814 G524278:H524278 G458742:H458742 G393206:H393206 G327670:H327670 G262134:H262134 G196598:H196598 G131062:H131062" xr:uid="{E4F5E422-EB2D-49E5-93E0-5D5F1D344F8E}">
      <formula1>F65575:F65576</formula1>
    </dataValidation>
    <dataValidation type="list" allowBlank="1" showInputMessage="1" showErrorMessage="1" prompt="Pick from drop-down list" sqref="WVP983030 WLT983030 WBX983030 VSB983030 VIF983030 UYJ983030 UON983030 UER983030 TUV983030 TKZ983030 TBD983030 SRH983030 SHL983030 RXP983030 RNT983030 RDX983030 QUB983030 QKF983030 QAJ983030 PQN983030 PGR983030 OWV983030 OMZ983030 ODD983030 NTH983030 NJL983030 MZP983030 MPT983030 MFX983030 LWB983030 LMF983030 LCJ983030 KSN983030 KIR983030 JYV983030 JOZ983030 JFD983030 IVH983030 ILL983030 IBP983030 HRT983030 HHX983030 GYB983030 GOF983030 GEJ983030 FUN983030 FKR983030 FAV983030 EQZ983030 EHD983030 DXH983030 DNL983030 DDP983030 CTT983030 CJX983030 CAB983030 BQF983030 BGJ983030 AWN983030 AMR983030 ACV983030 SZ983030 JD983030 WVP917494 WLT917494 WBX917494 VSB917494 VIF917494 UYJ917494 UON917494 UER917494 TUV917494 TKZ917494 TBD917494 SRH917494 SHL917494 RXP917494 RNT917494 RDX917494 QUB917494 QKF917494 QAJ917494 PQN917494 PGR917494 OWV917494 OMZ917494 ODD917494 NTH917494 NJL917494 MZP917494 MPT917494 MFX917494 LWB917494 LMF917494 LCJ917494 KSN917494 KIR917494 JYV917494 JOZ917494 JFD917494 IVH917494 ILL917494 IBP917494 HRT917494 HHX917494 GYB917494 GOF917494 GEJ917494 FUN917494 FKR917494 FAV917494 EQZ917494 EHD917494 DXH917494 DNL917494 DDP917494 CTT917494 CJX917494 CAB917494 BQF917494 BGJ917494 AWN917494 AMR917494 ACV917494 SZ917494 JD917494 WVP851958 WLT851958 WBX851958 VSB851958 VIF851958 UYJ851958 UON851958 UER851958 TUV851958 TKZ851958 TBD851958 SRH851958 SHL851958 RXP851958 RNT851958 RDX851958 QUB851958 QKF851958 QAJ851958 PQN851958 PGR851958 OWV851958 OMZ851958 ODD851958 NTH851958 NJL851958 MZP851958 MPT851958 MFX851958 LWB851958 LMF851958 LCJ851958 KSN851958 KIR851958 JYV851958 JOZ851958 JFD851958 IVH851958 ILL851958 IBP851958 HRT851958 HHX851958 GYB851958 GOF851958 GEJ851958 FUN851958 FKR851958 FAV851958 EQZ851958 EHD851958 DXH851958 DNL851958 DDP851958 CTT851958 CJX851958 CAB851958 BQF851958 BGJ851958 AWN851958 AMR851958 ACV851958 SZ851958 JD851958 WVP786422 WLT786422 WBX786422 VSB786422 VIF786422 UYJ786422 UON786422 UER786422 TUV786422 TKZ786422 TBD786422 SRH786422 SHL786422 RXP786422 RNT786422 RDX786422 QUB786422 QKF786422 QAJ786422 PQN786422 PGR786422 OWV786422 OMZ786422 ODD786422 NTH786422 NJL786422 MZP786422 MPT786422 MFX786422 LWB786422 LMF786422 LCJ786422 KSN786422 KIR786422 JYV786422 JOZ786422 JFD786422 IVH786422 ILL786422 IBP786422 HRT786422 HHX786422 GYB786422 GOF786422 GEJ786422 FUN786422 FKR786422 FAV786422 EQZ786422 EHD786422 DXH786422 DNL786422 DDP786422 CTT786422 CJX786422 CAB786422 BQF786422 BGJ786422 AWN786422 AMR786422 ACV786422 SZ786422 JD786422 WVP720886 WLT720886 WBX720886 VSB720886 VIF720886 UYJ720886 UON720886 UER720886 TUV720886 TKZ720886 TBD720886 SRH720886 SHL720886 RXP720886 RNT720886 RDX720886 QUB720886 QKF720886 QAJ720886 PQN720886 PGR720886 OWV720886 OMZ720886 ODD720886 NTH720886 NJL720886 MZP720886 MPT720886 MFX720886 LWB720886 LMF720886 LCJ720886 KSN720886 KIR720886 JYV720886 JOZ720886 JFD720886 IVH720886 ILL720886 IBP720886 HRT720886 HHX720886 GYB720886 GOF720886 GEJ720886 FUN720886 FKR720886 FAV720886 EQZ720886 EHD720886 DXH720886 DNL720886 DDP720886 CTT720886 CJX720886 CAB720886 BQF720886 BGJ720886 AWN720886 AMR720886 ACV720886 SZ720886 JD720886 WVP655350 WLT655350 WBX655350 VSB655350 VIF655350 UYJ655350 UON655350 UER655350 TUV655350 TKZ655350 TBD655350 SRH655350 SHL655350 RXP655350 RNT655350 RDX655350 QUB655350 QKF655350 QAJ655350 PQN655350 PGR655350 OWV655350 OMZ655350 ODD655350 NTH655350 NJL655350 MZP655350 MPT655350 MFX655350 LWB655350 LMF655350 LCJ655350 KSN655350 KIR655350 JYV655350 JOZ655350 JFD655350 IVH655350 ILL655350 IBP655350 HRT655350 HHX655350 GYB655350 GOF655350 GEJ655350 FUN655350 FKR655350 FAV655350 EQZ655350 EHD655350 DXH655350 DNL655350 DDP655350 CTT655350 CJX655350 CAB655350 BQF655350 BGJ655350 AWN655350 AMR655350 ACV655350 SZ655350 JD655350 WVP589814 WLT589814 WBX589814 VSB589814 VIF589814 UYJ589814 UON589814 UER589814 TUV589814 TKZ589814 TBD589814 SRH589814 SHL589814 RXP589814 RNT589814 RDX589814 QUB589814 QKF589814 QAJ589814 PQN589814 PGR589814 OWV589814 OMZ589814 ODD589814 NTH589814 NJL589814 MZP589814 MPT589814 MFX589814 LWB589814 LMF589814 LCJ589814 KSN589814 KIR589814 JYV589814 JOZ589814 JFD589814 IVH589814 ILL589814 IBP589814 HRT589814 HHX589814 GYB589814 GOF589814 GEJ589814 FUN589814 FKR589814 FAV589814 EQZ589814 EHD589814 DXH589814 DNL589814 DDP589814 CTT589814 CJX589814 CAB589814 BQF589814 BGJ589814 AWN589814 AMR589814 ACV589814 SZ589814 JD589814 WVP524278 WLT524278 WBX524278 VSB524278 VIF524278 UYJ524278 UON524278 UER524278 TUV524278 TKZ524278 TBD524278 SRH524278 SHL524278 RXP524278 RNT524278 RDX524278 QUB524278 QKF524278 QAJ524278 PQN524278 PGR524278 OWV524278 OMZ524278 ODD524278 NTH524278 NJL524278 MZP524278 MPT524278 MFX524278 LWB524278 LMF524278 LCJ524278 KSN524278 KIR524278 JYV524278 JOZ524278 JFD524278 IVH524278 ILL524278 IBP524278 HRT524278 HHX524278 GYB524278 GOF524278 GEJ524278 FUN524278 FKR524278 FAV524278 EQZ524278 EHD524278 DXH524278 DNL524278 DDP524278 CTT524278 CJX524278 CAB524278 BQF524278 BGJ524278 AWN524278 AMR524278 ACV524278 SZ524278 JD524278 WVP458742 WLT458742 WBX458742 VSB458742 VIF458742 UYJ458742 UON458742 UER458742 TUV458742 TKZ458742 TBD458742 SRH458742 SHL458742 RXP458742 RNT458742 RDX458742 QUB458742 QKF458742 QAJ458742 PQN458742 PGR458742 OWV458742 OMZ458742 ODD458742 NTH458742 NJL458742 MZP458742 MPT458742 MFX458742 LWB458742 LMF458742 LCJ458742 KSN458742 KIR458742 JYV458742 JOZ458742 JFD458742 IVH458742 ILL458742 IBP458742 HRT458742 HHX458742 GYB458742 GOF458742 GEJ458742 FUN458742 FKR458742 FAV458742 EQZ458742 EHD458742 DXH458742 DNL458742 DDP458742 CTT458742 CJX458742 CAB458742 BQF458742 BGJ458742 AWN458742 AMR458742 ACV458742 SZ458742 JD458742 WVP393206 WLT393206 WBX393206 VSB393206 VIF393206 UYJ393206 UON393206 UER393206 TUV393206 TKZ393206 TBD393206 SRH393206 SHL393206 RXP393206 RNT393206 RDX393206 QUB393206 QKF393206 QAJ393206 PQN393206 PGR393206 OWV393206 OMZ393206 ODD393206 NTH393206 NJL393206 MZP393206 MPT393206 MFX393206 LWB393206 LMF393206 LCJ393206 KSN393206 KIR393206 JYV393206 JOZ393206 JFD393206 IVH393206 ILL393206 IBP393206 HRT393206 HHX393206 GYB393206 GOF393206 GEJ393206 FUN393206 FKR393206 FAV393206 EQZ393206 EHD393206 DXH393206 DNL393206 DDP393206 CTT393206 CJX393206 CAB393206 BQF393206 BGJ393206 AWN393206 AMR393206 ACV393206 SZ393206 JD393206 WVP327670 WLT327670 WBX327670 VSB327670 VIF327670 UYJ327670 UON327670 UER327670 TUV327670 TKZ327670 TBD327670 SRH327670 SHL327670 RXP327670 RNT327670 RDX327670 QUB327670 QKF327670 QAJ327670 PQN327670 PGR327670 OWV327670 OMZ327670 ODD327670 NTH327670 NJL327670 MZP327670 MPT327670 MFX327670 LWB327670 LMF327670 LCJ327670 KSN327670 KIR327670 JYV327670 JOZ327670 JFD327670 IVH327670 ILL327670 IBP327670 HRT327670 HHX327670 GYB327670 GOF327670 GEJ327670 FUN327670 FKR327670 FAV327670 EQZ327670 EHD327670 DXH327670 DNL327670 DDP327670 CTT327670 CJX327670 CAB327670 BQF327670 BGJ327670 AWN327670 AMR327670 ACV327670 SZ327670 JD327670 WVP262134 WLT262134 WBX262134 VSB262134 VIF262134 UYJ262134 UON262134 UER262134 TUV262134 TKZ262134 TBD262134 SRH262134 SHL262134 RXP262134 RNT262134 RDX262134 QUB262134 QKF262134 QAJ262134 PQN262134 PGR262134 OWV262134 OMZ262134 ODD262134 NTH262134 NJL262134 MZP262134 MPT262134 MFX262134 LWB262134 LMF262134 LCJ262134 KSN262134 KIR262134 JYV262134 JOZ262134 JFD262134 IVH262134 ILL262134 IBP262134 HRT262134 HHX262134 GYB262134 GOF262134 GEJ262134 FUN262134 FKR262134 FAV262134 EQZ262134 EHD262134 DXH262134 DNL262134 DDP262134 CTT262134 CJX262134 CAB262134 BQF262134 BGJ262134 AWN262134 AMR262134 ACV262134 SZ262134 JD262134 WVP196598 WLT196598 WBX196598 VSB196598 VIF196598 UYJ196598 UON196598 UER196598 TUV196598 TKZ196598 TBD196598 SRH196598 SHL196598 RXP196598 RNT196598 RDX196598 QUB196598 QKF196598 QAJ196598 PQN196598 PGR196598 OWV196598 OMZ196598 ODD196598 NTH196598 NJL196598 MZP196598 MPT196598 MFX196598 LWB196598 LMF196598 LCJ196598 KSN196598 KIR196598 JYV196598 JOZ196598 JFD196598 IVH196598 ILL196598 IBP196598 HRT196598 HHX196598 GYB196598 GOF196598 GEJ196598 FUN196598 FKR196598 FAV196598 EQZ196598 EHD196598 DXH196598 DNL196598 DDP196598 CTT196598 CJX196598 CAB196598 BQF196598 BGJ196598 AWN196598 AMR196598 ACV196598 SZ196598 JD196598 WVP131062 WLT131062 WBX131062 VSB131062 VIF131062 UYJ131062 UON131062 UER131062 TUV131062 TKZ131062 TBD131062 SRH131062 SHL131062 RXP131062 RNT131062 RDX131062 QUB131062 QKF131062 QAJ131062 PQN131062 PGR131062 OWV131062 OMZ131062 ODD131062 NTH131062 NJL131062 MZP131062 MPT131062 MFX131062 LWB131062 LMF131062 LCJ131062 KSN131062 KIR131062 JYV131062 JOZ131062 JFD131062 IVH131062 ILL131062 IBP131062 HRT131062 HHX131062 GYB131062 GOF131062 GEJ131062 FUN131062 FKR131062 FAV131062 EQZ131062 EHD131062 DXH131062 DNL131062 DDP131062 CTT131062 CJX131062 CAB131062 BQF131062 BGJ131062 AWN131062 AMR131062 ACV131062 SZ131062 JD131062 WVP65526 WLT65526 WBX65526 VSB65526 VIF65526 UYJ65526 UON65526 UER65526 TUV65526 TKZ65526 TBD65526 SRH65526 SHL65526 RXP65526 RNT65526 RDX65526 QUB65526 QKF65526 QAJ65526 PQN65526 PGR65526 OWV65526 OMZ65526 ODD65526 NTH65526 NJL65526 MZP65526 MPT65526 MFX65526 LWB65526 LMF65526 LCJ65526 KSN65526 KIR65526 JYV65526 JOZ65526 JFD65526 IVH65526 ILL65526 IBP65526 HRT65526 HHX65526 GYB65526 GOF65526 GEJ65526 FUN65526 FKR65526 FAV65526 EQZ65526 EHD65526 DXH65526 DNL65526 DDP65526 CTT65526 CJX65526 CAB65526 BQF65526 BGJ65526 AWN65526 AMR65526 ACV65526 SZ65526 JD65526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G65525:H65525 C65528:F65528 G131061:H131061 C131064:F131064 G196597:H196597 C196600:F196600 G262133:H262133 C262136:F262136 G327669:H327669 C327672:F327672 G393205:H393205 C393208:F393208 G458741:H458741 C458744:F458744 G524277:H524277 C524280:F524280 G589813:H589813 C589816:F589816 G655349:H655349 C655352:F655352 G720885:H720885 C720888:F720888 G786421:H786421 C786424:F786424 G851957:H851957 C851960:F851960 G917493:H917493 C917496:F917496 G983029:H983029 C983032:F983032" xr:uid="{2B0E6B67-F81E-43C0-AD4C-C78ABAE91664}">
      <formula1>$J$16:$J$17</formula1>
    </dataValidation>
  </dataValidations>
  <hyperlinks>
    <hyperlink ref="G28" r:id="rId1" display="https://www.doingbusinesswithlcbo.com/content/dbwl/en/basepage/home/new-supplier-agent/Pricing/HelpfulToolsandLinks.html" xr:uid="{8099FB99-50E8-4539-BFFC-5207CE62DA44}"/>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EE72F03C-183E-47A4-9763-741F78DBCFF7}">
          <x14:formula1>
            <xm:f>Rates!$B$94:$B$95</xm:f>
          </x14:formula1>
          <xm:sqref>C4 G4:H4</xm:sqref>
        </x14:dataValidation>
        <x14:dataValidation type="list" allowBlank="1" showInputMessage="1" showErrorMessage="1" xr:uid="{2641E7C2-C907-4FC8-A727-D5C012FE27B2}">
          <x14:formula1>
            <xm:f>Rates!$C$94:$C$95</xm:f>
          </x14:formula1>
          <xm:sqref>G5:H5</xm:sqref>
        </x14:dataValidation>
        <x14:dataValidation type="list" showInputMessage="1" showErrorMessage="1" prompt="Pick from drop-down list_x000a_" xr:uid="{35364DE1-1269-48C5-AA1B-E030B4D07572}">
          <x14:formula1>
            <xm:f>Rates!$A$94:$A$95</xm:f>
          </x14:formula1>
          <xm:sqref>C6 G6:H6</xm:sqref>
        </x14:dataValidation>
        <x14:dataValidation type="list" showInputMessage="1" showErrorMessage="1" prompt="Pick from drop-down list_x000a_" xr:uid="{56A1D01F-0AD4-4010-86C6-3009ECCE866D}">
          <x14:formula1>
            <xm:f>Rates!$B$142:$B$147</xm:f>
          </x14:formula1>
          <xm:sqref>C7 G7:H7</xm:sqref>
        </x14:dataValidation>
        <x14:dataValidation type="list" allowBlank="1" showInputMessage="1" showErrorMessage="1" xr:uid="{C20BBAF8-7914-40F6-80C5-7F1112990BCC}">
          <x14:formula1>
            <xm:f>Rates!$A$82:$A$86</xm:f>
          </x14:formula1>
          <xm:sqref>C5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8013-2089-4C28-84B7-CBCA980A5D17}">
  <sheetPr transitionEvaluation="1" codeName="Sheet9">
    <tabColor theme="9" tint="0.59999389629810485"/>
  </sheetPr>
  <dimension ref="B1:V59"/>
  <sheetViews>
    <sheetView showGridLines="0" zoomScale="85" zoomScaleNormal="85" workbookViewId="0">
      <selection activeCell="B1" sqref="B1"/>
    </sheetView>
  </sheetViews>
  <sheetFormatPr defaultColWidth="9.84375" defaultRowHeight="14.5"/>
  <cols>
    <col min="1" max="1" width="1.765625" style="1" customWidth="1"/>
    <col min="2" max="2" width="23.23046875" style="1" bestFit="1" customWidth="1"/>
    <col min="3" max="3" width="20.69140625" style="6" customWidth="1"/>
    <col min="4" max="4" width="8.765625" style="1" customWidth="1"/>
    <col min="5" max="5" width="11" style="1" customWidth="1"/>
    <col min="6" max="6" width="1.765625" style="1" customWidth="1"/>
    <col min="7" max="7" width="23" style="1" bestFit="1" customWidth="1"/>
    <col min="8" max="8" width="20.765625" style="1" customWidth="1"/>
    <col min="9" max="9" width="1.765625" style="1" customWidth="1"/>
    <col min="10" max="10" width="18.84375" style="5" bestFit="1" customWidth="1"/>
    <col min="11" max="11" width="20.765625" style="1" customWidth="1"/>
    <col min="12" max="12" width="1.765625" style="1" customWidth="1"/>
    <col min="13" max="13" width="17.84375" style="1" customWidth="1"/>
    <col min="14" max="14" width="20.765625" style="1" customWidth="1"/>
    <col min="15" max="15" width="1.765625" style="1" customWidth="1"/>
    <col min="16" max="16" width="17.23046875" style="1" bestFit="1" customWidth="1"/>
    <col min="17" max="17" width="10.765625" style="1" customWidth="1"/>
    <col min="18" max="18" width="9.84375" style="1" customWidth="1"/>
    <col min="19" max="19" width="10.84375" style="1" customWidth="1"/>
    <col min="20" max="20" width="15.07421875" style="6" customWidth="1"/>
    <col min="21" max="21" width="12.84375" style="1" customWidth="1"/>
    <col min="22" max="16384" width="9.84375" style="1"/>
  </cols>
  <sheetData>
    <row r="1" spans="2:22" ht="18.5">
      <c r="B1" s="174" t="s">
        <v>507</v>
      </c>
      <c r="C1" s="3"/>
      <c r="J1" s="1"/>
    </row>
    <row r="2" spans="2:22">
      <c r="B2" s="21"/>
      <c r="J2" s="2"/>
      <c r="K2" s="2"/>
      <c r="L2" s="4"/>
    </row>
    <row r="3" spans="2:22" ht="15" thickBot="1">
      <c r="B3" s="59" t="s">
        <v>0</v>
      </c>
      <c r="J3" s="2"/>
      <c r="K3" s="2"/>
      <c r="L3" s="39"/>
    </row>
    <row r="4" spans="2:22" ht="16" thickBot="1">
      <c r="B4" s="31" t="s">
        <v>1</v>
      </c>
      <c r="C4" s="414"/>
      <c r="G4" s="65" t="s">
        <v>27</v>
      </c>
      <c r="H4" s="99"/>
      <c r="J4" s="65" t="s">
        <v>91</v>
      </c>
      <c r="K4" s="99"/>
      <c r="L4" s="62"/>
      <c r="M4" s="65" t="s">
        <v>92</v>
      </c>
      <c r="N4" s="99"/>
      <c r="P4" s="291" t="s">
        <v>300</v>
      </c>
      <c r="Q4" s="25"/>
      <c r="R4" s="292"/>
      <c r="S4" s="25"/>
      <c r="T4" s="25"/>
      <c r="U4" s="25"/>
      <c r="V4" s="115"/>
    </row>
    <row r="5" spans="2:22" ht="15" thickBot="1">
      <c r="B5" s="32" t="s">
        <v>5</v>
      </c>
      <c r="C5" s="400"/>
      <c r="G5" s="40" t="s">
        <v>28</v>
      </c>
      <c r="H5" s="41">
        <f t="shared" ref="H5:H12" si="0">K5+N5</f>
        <v>0</v>
      </c>
      <c r="J5" s="40" t="s">
        <v>93</v>
      </c>
      <c r="K5" s="41">
        <f>C9*C10</f>
        <v>0</v>
      </c>
      <c r="L5" s="62"/>
      <c r="M5" s="40" t="s">
        <v>94</v>
      </c>
      <c r="N5" s="41">
        <f>ROUND((C8*C10),4)</f>
        <v>0</v>
      </c>
      <c r="P5" s="299"/>
      <c r="Q5" s="300"/>
      <c r="R5" s="300"/>
      <c r="S5" s="300"/>
      <c r="T5" s="300"/>
      <c r="U5" s="300"/>
      <c r="V5" s="301"/>
    </row>
    <row r="6" spans="2:22" ht="15" thickBot="1">
      <c r="B6" s="220" t="s">
        <v>9</v>
      </c>
      <c r="C6" s="400"/>
      <c r="G6" s="27" t="s">
        <v>29</v>
      </c>
      <c r="H6" s="42" t="e">
        <f t="shared" si="0"/>
        <v>#VALUE!</v>
      </c>
      <c r="J6" s="27" t="s">
        <v>29</v>
      </c>
      <c r="K6" s="42">
        <v>0</v>
      </c>
      <c r="L6" s="63"/>
      <c r="M6" s="27" t="s">
        <v>29</v>
      </c>
      <c r="N6" s="42" t="e">
        <f>IF(C19=Rates!B107, ROUND(C27*C19,4),ROUND((C12*C13)*C19,4))</f>
        <v>#VALUE!</v>
      </c>
      <c r="P6" s="293"/>
      <c r="Q6" s="294"/>
      <c r="R6" s="294"/>
      <c r="S6" s="294"/>
      <c r="T6" s="294"/>
      <c r="U6" s="294"/>
      <c r="V6" s="295"/>
    </row>
    <row r="7" spans="2:22" ht="15" thickBot="1">
      <c r="B7" s="34" t="s">
        <v>467</v>
      </c>
      <c r="C7" s="401"/>
      <c r="G7" s="43" t="s">
        <v>30</v>
      </c>
      <c r="H7" s="288">
        <f t="shared" si="0"/>
        <v>0</v>
      </c>
      <c r="J7" s="43" t="s">
        <v>30</v>
      </c>
      <c r="K7" s="288">
        <v>0</v>
      </c>
      <c r="L7" s="63"/>
      <c r="M7" s="43" t="s">
        <v>30</v>
      </c>
      <c r="N7" s="288">
        <f>ROUND((C12*C13)*(C18),4)</f>
        <v>0</v>
      </c>
      <c r="P7" s="293"/>
      <c r="Q7" s="294"/>
      <c r="R7" s="294"/>
      <c r="S7" s="294"/>
      <c r="T7" s="294"/>
      <c r="U7" s="294"/>
      <c r="V7" s="295"/>
    </row>
    <row r="8" spans="2:22" ht="15" thickBot="1">
      <c r="B8" s="100" t="s">
        <v>89</v>
      </c>
      <c r="C8" s="401"/>
      <c r="G8" s="43" t="s">
        <v>16</v>
      </c>
      <c r="H8" s="44">
        <f t="shared" si="0"/>
        <v>0</v>
      </c>
      <c r="J8" s="43" t="s">
        <v>16</v>
      </c>
      <c r="K8" s="44">
        <v>0</v>
      </c>
      <c r="L8" s="63"/>
      <c r="M8" s="43" t="s">
        <v>16</v>
      </c>
      <c r="N8" s="44">
        <f>C11</f>
        <v>0</v>
      </c>
      <c r="P8" s="293"/>
      <c r="Q8" s="294"/>
      <c r="R8" s="294"/>
      <c r="S8" s="294"/>
      <c r="T8" s="294"/>
      <c r="U8" s="294"/>
      <c r="V8" s="295"/>
    </row>
    <row r="9" spans="2:22" ht="16" thickBot="1">
      <c r="B9" s="100" t="s">
        <v>90</v>
      </c>
      <c r="C9" s="401"/>
      <c r="G9" s="43" t="s">
        <v>31</v>
      </c>
      <c r="H9" s="45" t="e">
        <f t="shared" si="0"/>
        <v>#VALUE!</v>
      </c>
      <c r="J9" s="43" t="s">
        <v>31</v>
      </c>
      <c r="K9" s="45">
        <f>ROUND((+K5+K6+K7+K8),4)</f>
        <v>0</v>
      </c>
      <c r="L9" s="16"/>
      <c r="M9" s="43" t="s">
        <v>31</v>
      </c>
      <c r="N9" s="45" t="e">
        <f>ROUND((+N5+N6+N7+N8),4)</f>
        <v>#VALUE!</v>
      </c>
      <c r="O9"/>
      <c r="P9" s="293"/>
      <c r="Q9" s="294"/>
      <c r="R9" s="294"/>
      <c r="S9" s="294"/>
      <c r="T9" s="294"/>
      <c r="U9" s="294"/>
      <c r="V9" s="295"/>
    </row>
    <row r="10" spans="2:22" ht="15" thickBot="1">
      <c r="B10" s="220" t="s">
        <v>14</v>
      </c>
      <c r="C10" s="402"/>
      <c r="G10" s="43" t="s">
        <v>32</v>
      </c>
      <c r="H10" s="42" t="e">
        <f t="shared" si="0"/>
        <v>#VALUE!</v>
      </c>
      <c r="J10" s="43" t="s">
        <v>32</v>
      </c>
      <c r="K10" s="42">
        <v>0</v>
      </c>
      <c r="L10" s="16"/>
      <c r="M10" s="43" t="s">
        <v>32</v>
      </c>
      <c r="N10" s="42" t="e">
        <f>ROUND((+N9*C23),2)</f>
        <v>#VALUE!</v>
      </c>
      <c r="P10" s="293"/>
      <c r="Q10" s="294"/>
      <c r="R10" s="294"/>
      <c r="S10" s="294"/>
      <c r="T10" s="294"/>
      <c r="U10" s="294"/>
      <c r="V10" s="295"/>
    </row>
    <row r="11" spans="2:22" ht="15" thickBot="1">
      <c r="B11" s="222" t="s">
        <v>16</v>
      </c>
      <c r="C11" s="401"/>
      <c r="G11" s="43" t="s">
        <v>33</v>
      </c>
      <c r="H11" s="44">
        <f t="shared" si="0"/>
        <v>0</v>
      </c>
      <c r="J11" s="43" t="s">
        <v>33</v>
      </c>
      <c r="K11" s="44">
        <v>0</v>
      </c>
      <c r="M11" s="43" t="s">
        <v>33</v>
      </c>
      <c r="N11" s="44">
        <f>(+C13*C12)*C21</f>
        <v>0</v>
      </c>
      <c r="P11" s="293"/>
      <c r="Q11" s="294"/>
      <c r="R11" s="294"/>
      <c r="S11" s="294"/>
      <c r="T11" s="294"/>
      <c r="U11" s="294"/>
      <c r="V11" s="295"/>
    </row>
    <row r="12" spans="2:22" ht="15" thickBot="1">
      <c r="B12" s="221" t="s">
        <v>18</v>
      </c>
      <c r="C12" s="403"/>
      <c r="G12" s="43" t="s">
        <v>34</v>
      </c>
      <c r="H12" s="45" t="e">
        <f t="shared" si="0"/>
        <v>#VALUE!</v>
      </c>
      <c r="J12" s="43" t="s">
        <v>34</v>
      </c>
      <c r="K12" s="45">
        <f>SUM(K9:K11)</f>
        <v>0</v>
      </c>
      <c r="L12" s="64"/>
      <c r="M12" s="43" t="s">
        <v>34</v>
      </c>
      <c r="N12" s="45" t="e">
        <f>SUM(N9:N11)</f>
        <v>#VALUE!</v>
      </c>
      <c r="P12" s="293"/>
      <c r="Q12" s="294"/>
      <c r="R12" s="294"/>
      <c r="S12" s="294"/>
      <c r="T12" s="294"/>
      <c r="U12" s="294"/>
      <c r="V12" s="295"/>
    </row>
    <row r="13" spans="2:22" ht="15" thickBot="1">
      <c r="B13" s="220" t="s">
        <v>20</v>
      </c>
      <c r="C13" s="404"/>
      <c r="G13" s="27"/>
      <c r="H13" s="42"/>
      <c r="J13" s="27"/>
      <c r="K13" s="42"/>
      <c r="L13" s="64"/>
      <c r="M13" s="27"/>
      <c r="N13" s="42"/>
      <c r="P13" s="293"/>
      <c r="Q13" s="294"/>
      <c r="R13" s="294"/>
      <c r="S13" s="294"/>
      <c r="T13" s="294"/>
      <c r="U13" s="294"/>
      <c r="V13" s="295"/>
    </row>
    <row r="14" spans="2:22" ht="15" thickBot="1">
      <c r="B14" s="220" t="s">
        <v>22</v>
      </c>
      <c r="C14" s="416"/>
      <c r="G14" s="43" t="s">
        <v>35</v>
      </c>
      <c r="H14" s="45" t="e">
        <f t="shared" ref="H14:H20" si="1">K14+N14</f>
        <v>#DIV/0!</v>
      </c>
      <c r="J14" s="43" t="s">
        <v>35</v>
      </c>
      <c r="K14" s="45" t="e">
        <f>K12/C13</f>
        <v>#DIV/0!</v>
      </c>
      <c r="M14" s="43" t="s">
        <v>35</v>
      </c>
      <c r="N14" s="45" t="e">
        <f>ROUND((+N12/C13),4)</f>
        <v>#VALUE!</v>
      </c>
      <c r="P14" s="293"/>
      <c r="Q14" s="294"/>
      <c r="R14" s="294"/>
      <c r="S14" s="294"/>
      <c r="T14" s="294"/>
      <c r="U14" s="294"/>
      <c r="V14" s="295"/>
    </row>
    <row r="15" spans="2:22" ht="16.5" customHeight="1" thickBot="1">
      <c r="B15" s="223" t="s">
        <v>24</v>
      </c>
      <c r="C15" s="391"/>
      <c r="D15" s="524" t="s">
        <v>306</v>
      </c>
      <c r="E15" s="525"/>
      <c r="G15" s="43" t="s">
        <v>36</v>
      </c>
      <c r="H15" s="42">
        <f t="shared" si="1"/>
        <v>0</v>
      </c>
      <c r="J15" s="43" t="s">
        <v>36</v>
      </c>
      <c r="K15" s="42">
        <v>0</v>
      </c>
      <c r="M15" s="43" t="s">
        <v>36</v>
      </c>
      <c r="N15" s="42">
        <f>C22*C12</f>
        <v>0</v>
      </c>
      <c r="P15" s="293"/>
      <c r="Q15" s="294"/>
      <c r="R15" s="294"/>
      <c r="S15" s="294"/>
      <c r="T15" s="294"/>
      <c r="U15" s="294"/>
      <c r="V15" s="295"/>
    </row>
    <row r="16" spans="2:22" ht="15" thickBot="1">
      <c r="B16" s="341" t="s">
        <v>26</v>
      </c>
      <c r="C16" s="383" t="e">
        <f>H25</f>
        <v>#VALUE!</v>
      </c>
      <c r="D16" s="440" t="e">
        <f>H20-H24</f>
        <v>#DIV/0!</v>
      </c>
      <c r="E16" s="321" t="e">
        <f>C16-D16</f>
        <v>#VALUE!</v>
      </c>
      <c r="G16" s="43" t="s">
        <v>37</v>
      </c>
      <c r="H16" s="42">
        <f t="shared" si="1"/>
        <v>0</v>
      </c>
      <c r="J16" s="43" t="s">
        <v>37</v>
      </c>
      <c r="K16" s="42">
        <v>0</v>
      </c>
      <c r="M16" s="43" t="s">
        <v>37</v>
      </c>
      <c r="N16" s="42">
        <f>ROUND(C12*C20,4)</f>
        <v>0</v>
      </c>
      <c r="P16" s="293"/>
      <c r="Q16" s="294"/>
      <c r="R16" s="294"/>
      <c r="S16" s="294"/>
      <c r="T16" s="294"/>
      <c r="U16" s="294"/>
      <c r="V16" s="295"/>
    </row>
    <row r="17" spans="2:22" ht="15" thickBot="1">
      <c r="C17" s="25"/>
      <c r="G17" s="43" t="s">
        <v>19</v>
      </c>
      <c r="H17" s="46">
        <f t="shared" si="1"/>
        <v>0</v>
      </c>
      <c r="J17" s="43" t="s">
        <v>19</v>
      </c>
      <c r="K17" s="46">
        <v>0</v>
      </c>
      <c r="M17" s="43" t="s">
        <v>19</v>
      </c>
      <c r="N17" s="46">
        <f>C14*C24</f>
        <v>0</v>
      </c>
      <c r="P17" s="296"/>
      <c r="Q17" s="297"/>
      <c r="R17" s="297"/>
      <c r="S17" s="297"/>
      <c r="T17" s="297"/>
      <c r="U17" s="297"/>
      <c r="V17" s="298"/>
    </row>
    <row r="18" spans="2:22">
      <c r="B18" s="52" t="s">
        <v>3</v>
      </c>
      <c r="C18" s="382">
        <f>IF(C6="Domestic",0,IF(C15&gt;=7.1,Rates!C23,IF(C15&lt;1.2,Rates!C20,Rates!C22)))</f>
        <v>0</v>
      </c>
      <c r="G18" s="43" t="s">
        <v>38</v>
      </c>
      <c r="H18" s="45" t="e">
        <f t="shared" si="1"/>
        <v>#DIV/0!</v>
      </c>
      <c r="J18" s="43" t="s">
        <v>38</v>
      </c>
      <c r="K18" s="45" t="e">
        <f>K14+K15+K16+K17</f>
        <v>#DIV/0!</v>
      </c>
      <c r="L18" s="11"/>
      <c r="M18" s="43" t="s">
        <v>38</v>
      </c>
      <c r="N18" s="45" t="e">
        <f>N14+N15+N16+N17</f>
        <v>#VALUE!</v>
      </c>
      <c r="O18" s="9"/>
      <c r="P18" s="15"/>
    </row>
    <row r="19" spans="2:22">
      <c r="B19" s="53" t="s">
        <v>7</v>
      </c>
      <c r="C19" s="360" t="e">
        <f>VLOOKUP(("Gift"&amp;C4&amp;C5&amp;C6),Rates!I:J,2,FALSE)</f>
        <v>#VALUE!</v>
      </c>
      <c r="G19" s="43" t="s">
        <v>21</v>
      </c>
      <c r="H19" s="44" t="e">
        <f t="shared" si="1"/>
        <v>#DIV/0!</v>
      </c>
      <c r="J19" s="43" t="s">
        <v>21</v>
      </c>
      <c r="K19" s="44" t="e">
        <f>ROUND(+K18*C25,4)</f>
        <v>#DIV/0!</v>
      </c>
      <c r="L19" s="8"/>
      <c r="M19" s="43" t="s">
        <v>21</v>
      </c>
      <c r="N19" s="44" t="e">
        <f>ROUND(+N18*C25,2)</f>
        <v>#VALUE!</v>
      </c>
      <c r="Q19" s="6"/>
      <c r="S19" s="290"/>
      <c r="T19" s="325"/>
      <c r="U19" s="290"/>
    </row>
    <row r="20" spans="2:22">
      <c r="B20" s="43" t="s">
        <v>11</v>
      </c>
      <c r="C20" s="360">
        <f>(VLOOKUP(C6,Rates!B135:D140,3,TRUE))</f>
        <v>0.67530000000000001</v>
      </c>
      <c r="G20" s="43" t="s">
        <v>39</v>
      </c>
      <c r="H20" s="45" t="e">
        <f t="shared" si="1"/>
        <v>#DIV/0!</v>
      </c>
      <c r="J20" s="43" t="s">
        <v>39</v>
      </c>
      <c r="K20" s="45" t="e">
        <f>SUM(K18:K19)</f>
        <v>#DIV/0!</v>
      </c>
      <c r="M20" s="43" t="s">
        <v>39</v>
      </c>
      <c r="N20" s="45" t="e">
        <f>SUM(N18:N19)</f>
        <v>#VALUE!</v>
      </c>
      <c r="Q20" s="6"/>
      <c r="S20" s="290"/>
      <c r="T20" s="325"/>
      <c r="U20" s="290"/>
    </row>
    <row r="21" spans="2:22">
      <c r="B21" s="43" t="s">
        <v>33</v>
      </c>
      <c r="C21" s="360">
        <f>VLOOKUP(C4,Rates!A44:B50,2,FALSE)</f>
        <v>0</v>
      </c>
      <c r="G21" s="337" t="s">
        <v>305</v>
      </c>
      <c r="H21" s="49" t="e">
        <f>H23-H22</f>
        <v>#VALUE!</v>
      </c>
      <c r="J21" s="48"/>
      <c r="K21" s="49"/>
      <c r="M21" s="48"/>
      <c r="N21" s="49"/>
      <c r="Q21" s="6"/>
      <c r="S21" s="290"/>
      <c r="T21" s="325"/>
      <c r="U21" s="290"/>
    </row>
    <row r="22" spans="2:22">
      <c r="B22" s="43" t="s">
        <v>36</v>
      </c>
      <c r="C22" s="360">
        <f>Rates!B53</f>
        <v>0.28999999999999998</v>
      </c>
      <c r="D22" s="524" t="s">
        <v>301</v>
      </c>
      <c r="E22" s="525"/>
      <c r="G22" s="337" t="s">
        <v>21</v>
      </c>
      <c r="H22" s="78" t="e">
        <f>ROUND(H23*C25/(1+C25),2)</f>
        <v>#VALUE!</v>
      </c>
      <c r="J22" s="48"/>
      <c r="K22" s="49"/>
      <c r="M22" s="48"/>
      <c r="N22" s="78"/>
      <c r="Q22" s="6"/>
      <c r="S22" s="290"/>
      <c r="T22" s="325"/>
      <c r="U22" s="290"/>
    </row>
    <row r="23" spans="2:22">
      <c r="B23" s="54" t="s">
        <v>17</v>
      </c>
      <c r="C23" s="362">
        <f>VLOOKUP(C4,Rates!A58:B65,2,TRUE)</f>
        <v>1.3969999999999998</v>
      </c>
      <c r="D23" s="322" t="e">
        <f>C42</f>
        <v>#VALUE!</v>
      </c>
      <c r="E23" s="321" t="e">
        <f>D23-C23</f>
        <v>#VALUE!</v>
      </c>
      <c r="G23" s="337" t="s">
        <v>49</v>
      </c>
      <c r="H23" s="50" t="e">
        <f>IF(C35&lt;C23,C39+0.05,C39)+K23</f>
        <v>#VALUE!</v>
      </c>
      <c r="J23" s="48" t="s">
        <v>41</v>
      </c>
      <c r="K23" s="50" t="e">
        <f>CEILING(K20,0.05)</f>
        <v>#DIV/0!</v>
      </c>
      <c r="M23" s="48" t="s">
        <v>41</v>
      </c>
      <c r="N23" s="50" t="e">
        <f>IF(MOD(N20*1000,50)&gt;24.99,CEILING(N20,0.05),FLOOR(N20,0.05))</f>
        <v>#VALUE!</v>
      </c>
      <c r="Q23" s="6"/>
      <c r="S23" s="290"/>
      <c r="T23" s="325"/>
      <c r="U23" s="290"/>
    </row>
    <row r="24" spans="2:22" ht="15" thickBot="1">
      <c r="B24" s="55" t="s">
        <v>19</v>
      </c>
      <c r="C24" s="381">
        <f>Rates!B77</f>
        <v>8.9300000000000004E-2</v>
      </c>
      <c r="G24" s="43" t="s">
        <v>42</v>
      </c>
      <c r="H24" s="51" t="e">
        <f>C14*C26</f>
        <v>#DIV/0!</v>
      </c>
      <c r="J24" s="43"/>
      <c r="K24" s="51"/>
      <c r="M24" s="27"/>
      <c r="N24" s="47"/>
      <c r="Q24" s="6"/>
      <c r="S24" s="290"/>
      <c r="T24" s="325"/>
      <c r="U24" s="290"/>
    </row>
    <row r="25" spans="2:22" ht="16" thickBot="1">
      <c r="B25" s="43" t="s">
        <v>21</v>
      </c>
      <c r="C25" s="362">
        <f>Rates!B79</f>
        <v>0.13</v>
      </c>
      <c r="G25" s="57" t="s">
        <v>43</v>
      </c>
      <c r="H25" s="58" t="e">
        <f>H23+H24</f>
        <v>#VALUE!</v>
      </c>
      <c r="J25" s="57"/>
      <c r="K25" s="58"/>
      <c r="M25" s="57"/>
      <c r="N25" s="58"/>
      <c r="Q25" s="6"/>
      <c r="S25" s="290"/>
      <c r="T25" s="325"/>
      <c r="U25" s="290"/>
    </row>
    <row r="26" spans="2:22">
      <c r="B26" s="43" t="s">
        <v>23</v>
      </c>
      <c r="C26" s="360" t="e">
        <f>IF(C12/C14&gt;0.63,0.2,IF(C12/C14&gt;0.1,0.1,0))</f>
        <v>#DIV/0!</v>
      </c>
      <c r="G26" s="536" t="e">
        <f>IF(C9/C7&gt;40%,"VP Approval Required because packaging costs are greater than 40% of the total cost","")</f>
        <v>#DIV/0!</v>
      </c>
      <c r="H26" s="536"/>
      <c r="I26" s="536"/>
      <c r="J26" s="536"/>
      <c r="K26" s="536"/>
      <c r="L26" s="536"/>
      <c r="M26" s="536"/>
      <c r="N26" s="536"/>
      <c r="Q26" s="6"/>
      <c r="S26" s="290"/>
      <c r="T26" s="325"/>
      <c r="U26" s="290"/>
    </row>
    <row r="27" spans="2:22" ht="15.75" customHeight="1" thickBot="1">
      <c r="B27" s="56" t="s">
        <v>25</v>
      </c>
      <c r="C27" s="363">
        <f>+ROUND(((C12*C13)*C15)/100,4)</f>
        <v>0</v>
      </c>
      <c r="G27" s="536"/>
      <c r="H27" s="536"/>
      <c r="I27" s="536"/>
      <c r="J27" s="536"/>
      <c r="K27" s="536"/>
      <c r="L27" s="536"/>
      <c r="M27" s="536"/>
      <c r="N27" s="536"/>
      <c r="Q27" s="6"/>
      <c r="S27" s="290"/>
      <c r="T27" s="325"/>
      <c r="U27" s="290"/>
    </row>
    <row r="28" spans="2:22" ht="15" customHeight="1">
      <c r="Q28" s="6"/>
      <c r="S28" s="290"/>
      <c r="T28" s="325"/>
      <c r="U28" s="290"/>
    </row>
    <row r="29" spans="2:22">
      <c r="N29" s="443"/>
      <c r="Q29" s="6"/>
      <c r="S29" s="290"/>
      <c r="T29" s="325"/>
      <c r="U29" s="290"/>
    </row>
    <row r="30" spans="2:22" hidden="1">
      <c r="Q30" s="6"/>
      <c r="S30" s="290"/>
      <c r="T30" s="325"/>
      <c r="U30" s="290"/>
    </row>
    <row r="31" spans="2:22" hidden="1">
      <c r="B31" s="1" t="s">
        <v>44</v>
      </c>
      <c r="C31" s="96" t="e">
        <f>ROUND(((+(N18-N15-N17)*C13-N11)/N9-1),4)</f>
        <v>#VALUE!</v>
      </c>
      <c r="Q31" s="6"/>
      <c r="S31" s="290"/>
      <c r="T31" s="325"/>
      <c r="U31" s="290"/>
    </row>
    <row r="32" spans="2:22" hidden="1">
      <c r="B32" s="1" t="s">
        <v>45</v>
      </c>
      <c r="C32" s="19" t="e">
        <f>ROUND(+H21-(N9/C13),2)</f>
        <v>#VALUE!</v>
      </c>
      <c r="Q32" s="6"/>
      <c r="S32" s="290"/>
      <c r="T32" s="325"/>
      <c r="U32" s="290"/>
    </row>
    <row r="33" spans="2:21" hidden="1">
      <c r="B33" s="1" t="s">
        <v>46</v>
      </c>
      <c r="C33" s="20" t="e">
        <f>ROUND(+C32/N18,3)</f>
        <v>#VALUE!</v>
      </c>
      <c r="Q33" s="6"/>
      <c r="S33" s="290"/>
      <c r="T33" s="325"/>
      <c r="U33" s="290"/>
    </row>
    <row r="34" spans="2:21" hidden="1">
      <c r="Q34" s="6"/>
      <c r="S34" s="290"/>
      <c r="T34" s="325"/>
      <c r="U34" s="290"/>
    </row>
    <row r="35" spans="2:21" hidden="1">
      <c r="B35" s="9" t="s">
        <v>47</v>
      </c>
      <c r="C35" s="97" t="e">
        <f>ROUND((((N18-N17-N15-N16)*C13-N11)/N9-1),4)</f>
        <v>#VALUE!</v>
      </c>
      <c r="Q35" s="6"/>
      <c r="S35" s="290"/>
      <c r="T35" s="325"/>
      <c r="U35" s="290"/>
    </row>
    <row r="36" spans="2:21" hidden="1">
      <c r="B36" s="98"/>
      <c r="Q36" s="6"/>
      <c r="S36" s="290"/>
      <c r="T36" s="325"/>
      <c r="U36" s="290"/>
    </row>
    <row r="37" spans="2:21" hidden="1">
      <c r="B37" s="1" t="s">
        <v>48</v>
      </c>
      <c r="C37" s="12" t="e">
        <f>C39-C38</f>
        <v>#VALUE!</v>
      </c>
      <c r="Q37" s="6"/>
      <c r="S37" s="290"/>
      <c r="T37" s="325"/>
      <c r="U37" s="290"/>
    </row>
    <row r="38" spans="2:21" hidden="1">
      <c r="B38" s="1" t="s">
        <v>21</v>
      </c>
      <c r="C38" s="13" t="e">
        <f>ROUND(C39*C25/(1+C25),2)</f>
        <v>#VALUE!</v>
      </c>
      <c r="Q38" s="6"/>
      <c r="S38" s="290"/>
      <c r="T38" s="325"/>
      <c r="U38" s="290"/>
    </row>
    <row r="39" spans="2:21" hidden="1">
      <c r="B39" s="1" t="s">
        <v>49</v>
      </c>
      <c r="C39" s="111" t="e">
        <f>IF(MOD(N20*1000,50)&gt;24.99,CEILING(N20,0.05),FLOOR(N20,0.05))</f>
        <v>#VALUE!</v>
      </c>
      <c r="Q39" s="6"/>
      <c r="S39" s="290"/>
      <c r="T39" s="325"/>
      <c r="U39" s="290"/>
    </row>
    <row r="40" spans="2:21" hidden="1">
      <c r="B40" s="5"/>
      <c r="C40" s="1"/>
      <c r="Q40" s="6"/>
      <c r="S40" s="290"/>
      <c r="T40" s="325"/>
      <c r="U40" s="290"/>
    </row>
    <row r="41" spans="2:21" hidden="1">
      <c r="B41" s="17"/>
      <c r="C41" s="22"/>
      <c r="Q41" s="6"/>
      <c r="S41" s="290"/>
      <c r="T41" s="325"/>
      <c r="U41" s="290"/>
    </row>
    <row r="42" spans="2:21" hidden="1">
      <c r="B42" s="9" t="s">
        <v>47</v>
      </c>
      <c r="C42" s="22" t="e">
        <f>ROUND((((N18-N17-N15-N16)*C13-N11)/N9-1),4)</f>
        <v>#VALUE!</v>
      </c>
      <c r="Q42" s="6"/>
      <c r="S42" s="290"/>
      <c r="T42" s="325"/>
      <c r="U42" s="290"/>
    </row>
    <row r="43" spans="2:21" hidden="1">
      <c r="Q43" s="6"/>
      <c r="S43" s="290"/>
      <c r="T43" s="325"/>
      <c r="U43" s="290"/>
    </row>
    <row r="44" spans="2:21">
      <c r="Q44" s="6"/>
      <c r="S44" s="290"/>
      <c r="T44" s="325"/>
      <c r="U44" s="290"/>
    </row>
    <row r="45" spans="2:21">
      <c r="Q45" s="6"/>
      <c r="S45" s="290"/>
      <c r="T45" s="325"/>
      <c r="U45" s="290"/>
    </row>
    <row r="46" spans="2:21">
      <c r="Q46" s="6"/>
      <c r="S46" s="290"/>
      <c r="T46" s="325"/>
      <c r="U46" s="290"/>
    </row>
    <row r="47" spans="2:21">
      <c r="Q47" s="6"/>
      <c r="S47" s="290"/>
      <c r="T47" s="325"/>
      <c r="U47" s="290"/>
    </row>
    <row r="48" spans="2:21">
      <c r="S48" s="290"/>
      <c r="T48" s="290"/>
      <c r="U48" s="290"/>
    </row>
    <row r="49" spans="2:21">
      <c r="S49" s="290"/>
      <c r="T49" s="290"/>
      <c r="U49" s="290"/>
    </row>
    <row r="50" spans="2:21">
      <c r="S50" s="290"/>
      <c r="T50" s="290"/>
      <c r="U50" s="290"/>
    </row>
    <row r="51" spans="2:21">
      <c r="S51" s="290"/>
      <c r="T51" s="290"/>
      <c r="U51" s="290"/>
    </row>
    <row r="52" spans="2:21">
      <c r="S52" s="290"/>
      <c r="T52" s="290"/>
      <c r="U52" s="290"/>
    </row>
    <row r="53" spans="2:21">
      <c r="Q53" s="6"/>
      <c r="S53" s="290"/>
      <c r="T53" s="325"/>
      <c r="U53" s="290"/>
    </row>
    <row r="56" spans="2:21">
      <c r="B56" s="8"/>
      <c r="C56" s="1"/>
    </row>
    <row r="57" spans="2:21">
      <c r="B57" s="17"/>
      <c r="C57" s="1"/>
    </row>
    <row r="58" spans="2:21">
      <c r="C58" s="1"/>
    </row>
    <row r="59" spans="2:21">
      <c r="B59" s="17"/>
      <c r="C59" s="1"/>
    </row>
  </sheetData>
  <sheetProtection formatColumns="0" autoFilter="0" pivotTables="0"/>
  <protectedRanges>
    <protectedRange password="CCE3" sqref="B21:C25 C26 B20" name="Range3"/>
    <protectedRange password="CCE3" sqref="C20" name="Range3_2"/>
    <protectedRange password="CCE3" sqref="D22" name="Range3_3"/>
    <protectedRange password="CCE3" sqref="B26" name="Range3_1_1"/>
  </protectedRanges>
  <dataConsolidate link="1"/>
  <mergeCells count="3">
    <mergeCell ref="D15:E15"/>
    <mergeCell ref="D22:E22"/>
    <mergeCell ref="G26:N27"/>
  </mergeCells>
  <conditionalFormatting sqref="E16">
    <cfRule type="cellIs" dxfId="32" priority="4" operator="lessThan">
      <formula>0</formula>
    </cfRule>
    <cfRule type="cellIs" dxfId="31" priority="5" operator="greaterThan">
      <formula>0</formula>
    </cfRule>
    <cfRule type="cellIs" dxfId="30" priority="6" operator="greaterThan">
      <formula>0</formula>
    </cfRule>
  </conditionalFormatting>
  <conditionalFormatting sqref="E23">
    <cfRule type="cellIs" dxfId="29" priority="1" operator="lessThan">
      <formula>0</formula>
    </cfRule>
    <cfRule type="cellIs" dxfId="28" priority="2" operator="greaterThan">
      <formula>0</formula>
    </cfRule>
    <cfRule type="cellIs" dxfId="27" priority="3" operator="greaterThan">
      <formula>0</formula>
    </cfRule>
  </conditionalFormatting>
  <printOptions horizontalCentered="1" gridLinesSet="0"/>
  <pageMargins left="0" right="0" top="0" bottom="0" header="0.511811023622047" footer="0.511811023622047"/>
  <pageSetup scale="74" orientation="portrait" horizontalDpi="300" verticalDpi="300" r:id="rId1"/>
  <headerFooter alignWithMargins="0"/>
  <ignoredErrors>
    <ignoredError sqref="G26"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Pick from drop-down list" xr:uid="{F9DA785B-FED1-4B85-8958-CF46F59AF660}">
          <x14:formula1>
            <xm:f>Rates!$A$44:$A$50</xm:f>
          </x14:formula1>
          <xm:sqref>C4</xm:sqref>
        </x14:dataValidation>
        <x14:dataValidation type="list" showInputMessage="1" showErrorMessage="1" prompt="Pick from drop-down list_x000a_" xr:uid="{45F53C02-C927-42A9-AA22-A1E9EB0EF5C3}">
          <x14:formula1>
            <xm:f>Rates!$A$94:$A$95</xm:f>
          </x14:formula1>
          <xm:sqref>C5</xm:sqref>
        </x14:dataValidation>
        <x14:dataValidation type="list" showInputMessage="1" showErrorMessage="1" prompt="Pick from drop-down list_x000a_" xr:uid="{4F56350B-F1FB-44FF-ABDD-B9B07C4F4921}">
          <x14:formula1>
            <xm:f>Rates!$B$135:$B$140</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OpenWorkSheet</vt:lpstr>
      <vt:lpstr>Wine</vt:lpstr>
      <vt:lpstr>Spirits</vt:lpstr>
      <vt:lpstr>Cooler RTD Cider</vt:lpstr>
      <vt:lpstr>Rates</vt:lpstr>
      <vt:lpstr>BeerImport</vt:lpstr>
      <vt:lpstr>BeerOntario</vt:lpstr>
      <vt:lpstr>BeerImportedFlavour</vt:lpstr>
      <vt:lpstr>GiftPack_Wine</vt:lpstr>
      <vt:lpstr>GiftPack_Spirit</vt:lpstr>
      <vt:lpstr>GiftPack_Cooler RTD Cider</vt:lpstr>
      <vt:lpstr>GiftPack_BeerImport</vt:lpstr>
      <vt:lpstr>GiftPack_BeerOntario</vt:lpstr>
      <vt:lpstr>KEGFlavouredBeer</vt:lpstr>
      <vt:lpstr>KEGBeerImport</vt:lpstr>
      <vt:lpstr>KEGCider</vt:lpstr>
      <vt:lpstr>Contact Info</vt:lpstr>
      <vt:lpstr>BeerOntario!Print_Area</vt:lpstr>
      <vt:lpstr>GiftPack_Wine!Print_Area</vt:lpstr>
      <vt:lpstr>Wine!Print_Area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Pricing Administration</dc:creator>
  <cp:keywords/>
  <dc:description/>
  <cp:lastModifiedBy>Zupo, Lucy</cp:lastModifiedBy>
  <cp:revision/>
  <cp:lastPrinted>2024-10-08T21:14:12Z</cp:lastPrinted>
  <dcterms:created xsi:type="dcterms:W3CDTF">1998-02-20T18:32:37Z</dcterms:created>
  <dcterms:modified xsi:type="dcterms:W3CDTF">2025-11-25T19:29:48Z</dcterms:modified>
  <cp:category/>
  <cp:contentStatus/>
</cp:coreProperties>
</file>